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Dokumente\DFBL\Sitzungen\"/>
    </mc:Choice>
  </mc:AlternateContent>
  <xr:revisionPtr revIDLastSave="0" documentId="8_{BAF6B33A-743C-4BBE-803E-7E3AEDADBD2E}" xr6:coauthVersionLast="43" xr6:coauthVersionMax="43" xr10:uidLastSave="{00000000-0000-0000-0000-000000000000}"/>
  <bookViews>
    <workbookView xWindow="0" yWindow="1950" windowWidth="28800" windowHeight="10800" activeTab="2" xr2:uid="{00000000-000D-0000-FFFF-FFFF00000000}"/>
  </bookViews>
  <sheets>
    <sheet name="Feld 2020" sheetId="6" r:id="rId1"/>
    <sheet name="Halle 19 20" sheetId="5" r:id="rId2"/>
    <sheet name="Feld 2019" sheetId="1" r:id="rId3"/>
    <sheet name="Halle 18 19" sheetId="2" r:id="rId4"/>
    <sheet name="Feld 2018" sheetId="3" r:id="rId5"/>
    <sheet name="Halle 17 18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5" l="1"/>
  <c r="L16" i="5"/>
  <c r="L15" i="5"/>
  <c r="L14" i="5"/>
  <c r="L13" i="5"/>
  <c r="L12" i="5"/>
  <c r="L11" i="5"/>
  <c r="L10" i="5"/>
  <c r="L19" i="5"/>
  <c r="L9" i="5"/>
  <c r="L24" i="5"/>
  <c r="L25" i="5"/>
  <c r="L21" i="5"/>
  <c r="L20" i="5"/>
  <c r="L18" i="5"/>
  <c r="L8" i="5"/>
  <c r="L7" i="5"/>
  <c r="L4" i="5"/>
  <c r="L29" i="5"/>
  <c r="L28" i="5"/>
  <c r="L27" i="5"/>
  <c r="L26" i="5"/>
  <c r="L23" i="5"/>
  <c r="L22" i="5"/>
  <c r="L6" i="5"/>
  <c r="L5" i="5"/>
  <c r="L3" i="5"/>
  <c r="L2" i="5"/>
  <c r="G17" i="5"/>
  <c r="G16" i="5"/>
  <c r="G15" i="5"/>
  <c r="G14" i="5"/>
  <c r="G13" i="5"/>
  <c r="G12" i="5"/>
  <c r="G11" i="5"/>
  <c r="G10" i="5"/>
  <c r="G9" i="5"/>
  <c r="G29" i="5"/>
  <c r="G28" i="5"/>
  <c r="G27" i="5"/>
  <c r="G26" i="5"/>
  <c r="G25" i="5"/>
  <c r="G24" i="5"/>
  <c r="G23" i="5"/>
  <c r="G22" i="5"/>
  <c r="G21" i="5"/>
  <c r="G20" i="5"/>
  <c r="G19" i="5"/>
  <c r="G18" i="5"/>
  <c r="G8" i="5"/>
  <c r="G7" i="5"/>
  <c r="G6" i="5"/>
  <c r="G5" i="5"/>
  <c r="G4" i="5"/>
  <c r="G3" i="5"/>
  <c r="G2" i="5"/>
  <c r="L24" i="4" l="1"/>
  <c r="D17" i="4" l="1"/>
  <c r="D16" i="4"/>
  <c r="D15" i="4"/>
  <c r="D14" i="4"/>
  <c r="D13" i="4"/>
  <c r="D12" i="4"/>
  <c r="D11" i="4"/>
  <c r="D10" i="4"/>
  <c r="D9" i="4"/>
  <c r="L25" i="4" l="1"/>
  <c r="L23" i="4"/>
  <c r="L22" i="4"/>
  <c r="L21" i="4"/>
  <c r="L18" i="4"/>
  <c r="L17" i="4"/>
  <c r="L16" i="4"/>
  <c r="L15" i="4"/>
  <c r="L14" i="4"/>
  <c r="L11" i="4"/>
  <c r="L10" i="4"/>
  <c r="L9" i="4"/>
  <c r="L26" i="4"/>
  <c r="L20" i="4"/>
  <c r="L19" i="4"/>
  <c r="L13" i="4"/>
  <c r="L12" i="4"/>
  <c r="L5" i="4"/>
  <c r="L3" i="4"/>
  <c r="L33" i="4"/>
  <c r="L32" i="4"/>
  <c r="L31" i="4"/>
  <c r="L30" i="4"/>
  <c r="L29" i="4"/>
  <c r="L28" i="4"/>
  <c r="L27" i="4"/>
  <c r="L8" i="4"/>
  <c r="L7" i="4"/>
  <c r="L6" i="4"/>
  <c r="L4" i="4"/>
  <c r="L2" i="4"/>
  <c r="J36" i="3"/>
  <c r="K36" i="3"/>
  <c r="L36" i="3"/>
  <c r="L18" i="3"/>
  <c r="L17" i="3"/>
  <c r="L16" i="3"/>
  <c r="L14" i="3"/>
  <c r="L13" i="3"/>
  <c r="L12" i="3"/>
  <c r="L11" i="3"/>
  <c r="L10" i="3"/>
  <c r="L23" i="3"/>
  <c r="L21" i="3"/>
  <c r="L20" i="3"/>
  <c r="L31" i="3"/>
  <c r="L25" i="3"/>
  <c r="L24" i="3"/>
  <c r="L22" i="3"/>
  <c r="L19" i="3"/>
  <c r="L15" i="3"/>
  <c r="L9" i="3"/>
  <c r="L8" i="3"/>
  <c r="L6" i="3"/>
  <c r="L5" i="3"/>
  <c r="L3" i="3"/>
  <c r="L34" i="3"/>
  <c r="L33" i="3"/>
  <c r="L32" i="3"/>
  <c r="L30" i="3"/>
  <c r="L29" i="3"/>
  <c r="L28" i="3"/>
  <c r="L27" i="3"/>
  <c r="L26" i="3"/>
  <c r="L7" i="3"/>
  <c r="L4" i="3"/>
  <c r="L2" i="3"/>
  <c r="J34" i="2"/>
  <c r="K34" i="2"/>
  <c r="L34" i="2"/>
  <c r="L22" i="2"/>
  <c r="L21" i="2"/>
  <c r="L20" i="2"/>
  <c r="L19" i="2"/>
  <c r="L17" i="2"/>
  <c r="L16" i="2"/>
  <c r="L15" i="2"/>
  <c r="L14" i="2"/>
  <c r="L13" i="2"/>
  <c r="L12" i="2"/>
  <c r="L11" i="2"/>
  <c r="L10" i="2"/>
  <c r="L31" i="2"/>
  <c r="L30" i="2"/>
  <c r="L28" i="2"/>
  <c r="L26" i="2"/>
  <c r="L25" i="2"/>
  <c r="L24" i="2"/>
  <c r="L23" i="2"/>
  <c r="L8" i="2"/>
  <c r="L4" i="2"/>
  <c r="L3" i="2"/>
  <c r="L29" i="2"/>
  <c r="L27" i="2"/>
  <c r="L18" i="2"/>
  <c r="L9" i="2"/>
  <c r="L7" i="2"/>
  <c r="L6" i="2"/>
  <c r="L5" i="2"/>
  <c r="L2" i="2"/>
  <c r="J31" i="1"/>
  <c r="K31" i="1"/>
  <c r="L31" i="1"/>
  <c r="L20" i="1" l="1"/>
  <c r="L19" i="1"/>
  <c r="L18" i="1"/>
  <c r="L17" i="1"/>
  <c r="L16" i="1"/>
  <c r="L15" i="1"/>
  <c r="L14" i="1"/>
  <c r="L13" i="1"/>
  <c r="L12" i="1"/>
  <c r="L11" i="1"/>
  <c r="L9" i="1"/>
  <c r="L28" i="1"/>
  <c r="L10" i="1"/>
  <c r="L8" i="1"/>
  <c r="L7" i="1"/>
  <c r="L6" i="1"/>
  <c r="L5" i="1"/>
  <c r="L4" i="1"/>
  <c r="L3" i="1"/>
  <c r="L2" i="1"/>
  <c r="L29" i="1"/>
  <c r="L27" i="1"/>
  <c r="L26" i="1"/>
  <c r="L25" i="1"/>
  <c r="L24" i="1"/>
  <c r="L23" i="1"/>
  <c r="L22" i="1"/>
  <c r="L21" i="1"/>
  <c r="D35" i="4" l="1"/>
  <c r="E35" i="4"/>
  <c r="F35" i="4"/>
  <c r="G35" i="4"/>
  <c r="C35" i="4"/>
  <c r="D36" i="3"/>
  <c r="E36" i="3"/>
  <c r="F36" i="3"/>
  <c r="G36" i="3"/>
  <c r="C36" i="3"/>
  <c r="G34" i="2"/>
  <c r="D34" i="2"/>
  <c r="E34" i="2"/>
  <c r="F34" i="2"/>
  <c r="C34" i="2"/>
  <c r="D31" i="1"/>
  <c r="E31" i="1"/>
  <c r="F31" i="1"/>
  <c r="G31" i="1"/>
  <c r="C31" i="1"/>
  <c r="G17" i="4"/>
  <c r="G16" i="4"/>
  <c r="G15" i="4"/>
  <c r="G14" i="4"/>
  <c r="G13" i="4"/>
  <c r="G9" i="4"/>
  <c r="G12" i="4"/>
  <c r="G11" i="4"/>
  <c r="G10" i="4"/>
  <c r="G20" i="1"/>
  <c r="G19" i="1"/>
  <c r="G18" i="1"/>
  <c r="G17" i="1"/>
  <c r="D20" i="1"/>
  <c r="C20" i="1"/>
  <c r="D19" i="1"/>
  <c r="C19" i="1"/>
  <c r="D18" i="1"/>
  <c r="C18" i="1"/>
  <c r="D17" i="1"/>
  <c r="C17" i="1"/>
  <c r="G22" i="2"/>
  <c r="G21" i="2"/>
  <c r="G20" i="2"/>
  <c r="G19" i="2"/>
  <c r="D22" i="2"/>
  <c r="C22" i="2"/>
  <c r="D21" i="2"/>
  <c r="C21" i="2"/>
  <c r="D20" i="2"/>
  <c r="C20" i="2"/>
  <c r="D19" i="2"/>
  <c r="C19" i="2"/>
  <c r="G25" i="3"/>
  <c r="G24" i="3"/>
  <c r="G23" i="3"/>
  <c r="G22" i="3"/>
  <c r="G21" i="3"/>
  <c r="G20" i="3"/>
  <c r="G19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G26" i="4"/>
  <c r="G25" i="4"/>
  <c r="G24" i="4"/>
  <c r="G23" i="4"/>
  <c r="G22" i="4"/>
  <c r="G21" i="4"/>
  <c r="G20" i="4"/>
  <c r="G19" i="4"/>
  <c r="G18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G16" i="1"/>
  <c r="G15" i="1"/>
  <c r="G14" i="1"/>
  <c r="G13" i="1"/>
  <c r="G12" i="1"/>
  <c r="G11" i="1"/>
  <c r="G10" i="1"/>
  <c r="G9" i="1"/>
  <c r="G18" i="2"/>
  <c r="G17" i="2"/>
  <c r="G16" i="2"/>
  <c r="G15" i="2"/>
  <c r="G14" i="2"/>
  <c r="G13" i="2"/>
  <c r="G12" i="2"/>
  <c r="G11" i="2"/>
  <c r="G10" i="2"/>
  <c r="G17" i="3"/>
  <c r="G18" i="3"/>
  <c r="G16" i="3"/>
  <c r="G15" i="3"/>
  <c r="G14" i="3"/>
  <c r="G13" i="3"/>
  <c r="G12" i="3"/>
  <c r="G11" i="3"/>
  <c r="G10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G29" i="1" l="1"/>
  <c r="G28" i="1"/>
  <c r="G24" i="1"/>
  <c r="G25" i="1"/>
  <c r="G26" i="1"/>
  <c r="G27" i="1"/>
  <c r="G23" i="1"/>
  <c r="G22" i="1"/>
  <c r="G21" i="1"/>
  <c r="G34" i="3"/>
  <c r="G33" i="3"/>
  <c r="G32" i="3"/>
  <c r="G31" i="3"/>
  <c r="G30" i="3"/>
  <c r="G29" i="3"/>
  <c r="G28" i="3"/>
  <c r="G27" i="3"/>
  <c r="G26" i="3"/>
  <c r="G31" i="2"/>
  <c r="G30" i="2"/>
  <c r="G29" i="2"/>
  <c r="G27" i="2"/>
  <c r="G26" i="2"/>
  <c r="G25" i="2"/>
  <c r="G28" i="2"/>
  <c r="G24" i="2"/>
  <c r="G23" i="2"/>
  <c r="G33" i="4"/>
  <c r="G32" i="4"/>
  <c r="G31" i="4"/>
  <c r="G30" i="4"/>
  <c r="G29" i="4"/>
  <c r="G28" i="4"/>
  <c r="G27" i="4"/>
  <c r="G8" i="4"/>
  <c r="G7" i="4"/>
  <c r="G5" i="4"/>
  <c r="G6" i="4"/>
  <c r="G4" i="4"/>
  <c r="G3" i="4"/>
  <c r="G2" i="4"/>
  <c r="G9" i="2"/>
  <c r="G8" i="2"/>
  <c r="G7" i="2"/>
  <c r="G6" i="2"/>
  <c r="G5" i="2"/>
  <c r="G4" i="2"/>
  <c r="G3" i="2"/>
  <c r="G2" i="2"/>
  <c r="G9" i="3"/>
  <c r="G8" i="3"/>
  <c r="G7" i="3"/>
  <c r="G6" i="3"/>
  <c r="G5" i="3"/>
  <c r="G4" i="3"/>
  <c r="G3" i="3"/>
  <c r="G2" i="3"/>
  <c r="G8" i="1"/>
  <c r="G7" i="1"/>
  <c r="G6" i="1"/>
  <c r="G5" i="1"/>
  <c r="G4" i="1"/>
  <c r="G3" i="1"/>
  <c r="G2" i="1"/>
  <c r="D5" i="1"/>
  <c r="D29" i="1"/>
  <c r="D25" i="1"/>
  <c r="D21" i="1"/>
  <c r="D28" i="2"/>
  <c r="D24" i="2"/>
  <c r="D7" i="3"/>
  <c r="D3" i="3"/>
  <c r="D32" i="3"/>
  <c r="D28" i="3"/>
  <c r="D7" i="4"/>
  <c r="D3" i="4"/>
  <c r="C8" i="1"/>
  <c r="D8" i="1" s="1"/>
  <c r="C7" i="1"/>
  <c r="D7" i="1" s="1"/>
  <c r="C6" i="1"/>
  <c r="D6" i="1" s="1"/>
  <c r="C5" i="1"/>
  <c r="C4" i="1"/>
  <c r="D4" i="1" s="1"/>
  <c r="C3" i="1"/>
  <c r="D3" i="1" s="1"/>
  <c r="C2" i="1"/>
  <c r="D2" i="1" s="1"/>
  <c r="C29" i="1"/>
  <c r="C28" i="1"/>
  <c r="D28" i="1" s="1"/>
  <c r="C27" i="1"/>
  <c r="D27" i="1" s="1"/>
  <c r="C26" i="1"/>
  <c r="D26" i="1" s="1"/>
  <c r="C25" i="1"/>
  <c r="C24" i="1"/>
  <c r="D24" i="1" s="1"/>
  <c r="C23" i="1"/>
  <c r="D23" i="1" s="1"/>
  <c r="C22" i="1"/>
  <c r="D22" i="1" s="1"/>
  <c r="C21" i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C31" i="2"/>
  <c r="D31" i="2" s="1"/>
  <c r="C30" i="2"/>
  <c r="D30" i="2" s="1"/>
  <c r="C29" i="2"/>
  <c r="D29" i="2" s="1"/>
  <c r="C28" i="2"/>
  <c r="C27" i="2"/>
  <c r="D27" i="2" s="1"/>
  <c r="C26" i="2"/>
  <c r="D26" i="2" s="1"/>
  <c r="C25" i="2"/>
  <c r="D25" i="2" s="1"/>
  <c r="C24" i="2"/>
  <c r="C23" i="2"/>
  <c r="D23" i="2" s="1"/>
  <c r="C9" i="3"/>
  <c r="D9" i="3" s="1"/>
  <c r="C8" i="3"/>
  <c r="D8" i="3" s="1"/>
  <c r="C7" i="3"/>
  <c r="C6" i="3"/>
  <c r="D6" i="3" s="1"/>
  <c r="C5" i="3"/>
  <c r="D5" i="3" s="1"/>
  <c r="C4" i="3"/>
  <c r="D4" i="3" s="1"/>
  <c r="C3" i="3"/>
  <c r="C2" i="3"/>
  <c r="D2" i="3" s="1"/>
  <c r="C34" i="3"/>
  <c r="D34" i="3" s="1"/>
  <c r="C33" i="3"/>
  <c r="D33" i="3" s="1"/>
  <c r="C32" i="3"/>
  <c r="C31" i="3"/>
  <c r="D31" i="3" s="1"/>
  <c r="C30" i="3"/>
  <c r="D30" i="3" s="1"/>
  <c r="C29" i="3"/>
  <c r="D29" i="3" s="1"/>
  <c r="C28" i="3"/>
  <c r="C27" i="3"/>
  <c r="D27" i="3" s="1"/>
  <c r="C26" i="3"/>
  <c r="D26" i="3" s="1"/>
  <c r="C8" i="4"/>
  <c r="D8" i="4" s="1"/>
  <c r="C7" i="4"/>
  <c r="C6" i="4"/>
  <c r="D6" i="4" s="1"/>
  <c r="C5" i="4"/>
  <c r="D5" i="4" s="1"/>
  <c r="C4" i="4"/>
  <c r="D4" i="4" s="1"/>
  <c r="C3" i="4"/>
  <c r="C2" i="4"/>
  <c r="D2" i="4" s="1"/>
  <c r="C33" i="4"/>
  <c r="D33" i="4" s="1"/>
  <c r="C32" i="4"/>
  <c r="D32" i="4" s="1"/>
  <c r="C31" i="4"/>
  <c r="D31" i="4" s="1"/>
  <c r="C30" i="4"/>
  <c r="C29" i="4"/>
  <c r="D29" i="4" s="1"/>
  <c r="C28" i="4"/>
  <c r="D28" i="4" s="1"/>
  <c r="C27" i="4"/>
  <c r="D30" i="4"/>
  <c r="D27" i="4"/>
</calcChain>
</file>

<file path=xl/sharedStrings.xml><?xml version="1.0" encoding="utf-8"?>
<sst xmlns="http://schemas.openxmlformats.org/spreadsheetml/2006/main" count="981" uniqueCount="90">
  <si>
    <t>Wardenburg</t>
  </si>
  <si>
    <t>Hannover</t>
  </si>
  <si>
    <t>Ahlhorn</t>
  </si>
  <si>
    <t>Döhlen</t>
  </si>
  <si>
    <t>Brettorf</t>
  </si>
  <si>
    <t>Spenge</t>
  </si>
  <si>
    <t>Halden-Herbeck</t>
  </si>
  <si>
    <t>Gärtringen</t>
  </si>
  <si>
    <t>Görlitz</t>
  </si>
  <si>
    <t>Stammheim</t>
  </si>
  <si>
    <t>Staffelstein</t>
  </si>
  <si>
    <t>Schwieberdingen</t>
  </si>
  <si>
    <t>Veitsbronn I</t>
  </si>
  <si>
    <t>Veitsbronn II</t>
  </si>
  <si>
    <t>Calw</t>
  </si>
  <si>
    <t>Ötisheim</t>
  </si>
  <si>
    <t>Langen</t>
  </si>
  <si>
    <t>Tiefenthal</t>
  </si>
  <si>
    <t>Bretten</t>
  </si>
  <si>
    <t>Wangersen</t>
  </si>
  <si>
    <t>Essel</t>
  </si>
  <si>
    <t>Schülp</t>
  </si>
  <si>
    <t>Kellinghusen</t>
  </si>
  <si>
    <t>Hammah</t>
  </si>
  <si>
    <t>Berlin</t>
  </si>
  <si>
    <t>Bardowick</t>
  </si>
  <si>
    <t>Verein</t>
  </si>
  <si>
    <t>KM alt</t>
  </si>
  <si>
    <t>Bereich neu</t>
  </si>
  <si>
    <t>Bereich alt</t>
  </si>
  <si>
    <t>Nord</t>
  </si>
  <si>
    <t>Süd</t>
  </si>
  <si>
    <t>West</t>
  </si>
  <si>
    <t>Ost</t>
  </si>
  <si>
    <t>Leverkusen</t>
  </si>
  <si>
    <t>Lemwerde</t>
  </si>
  <si>
    <t>Ohligs</t>
  </si>
  <si>
    <t>Voerde</t>
  </si>
  <si>
    <t>Segnitz</t>
  </si>
  <si>
    <t>Schwabach</t>
  </si>
  <si>
    <t>Unterhaugstett</t>
  </si>
  <si>
    <t>Niedernhall</t>
  </si>
  <si>
    <t>Herrnwahlthann</t>
  </si>
  <si>
    <t>Glauchau-Rothenbach</t>
  </si>
  <si>
    <t>Käfertal</t>
  </si>
  <si>
    <t>Hagenah</t>
  </si>
  <si>
    <t>Güstrow</t>
  </si>
  <si>
    <t>Wiemersdorf</t>
  </si>
  <si>
    <t>Landshut</t>
  </si>
  <si>
    <t>Burghausen</t>
  </si>
  <si>
    <t>Pfungstadt</t>
  </si>
  <si>
    <t>Dörnberg</t>
  </si>
  <si>
    <t>Seligenstadt</t>
  </si>
  <si>
    <t>Kaulsdorf</t>
  </si>
  <si>
    <t>Diepenau</t>
  </si>
  <si>
    <t>Gärtringen I</t>
  </si>
  <si>
    <t>Gärtringen II</t>
  </si>
  <si>
    <t>Böblingen</t>
  </si>
  <si>
    <t>Öschelbronn</t>
  </si>
  <si>
    <t>Pfunstadt</t>
  </si>
  <si>
    <t>Oppau</t>
  </si>
  <si>
    <t>28 Vereine</t>
  </si>
  <si>
    <t>30 Vereine</t>
  </si>
  <si>
    <t>32 Vereine</t>
  </si>
  <si>
    <t>33 Vereine</t>
  </si>
  <si>
    <t>4 Bezirke</t>
  </si>
  <si>
    <t>KM max</t>
  </si>
  <si>
    <t>KM min</t>
  </si>
  <si>
    <t>KM ⌀</t>
  </si>
  <si>
    <t>Düdenbüttel I</t>
  </si>
  <si>
    <t>Düdenbüttel II</t>
  </si>
  <si>
    <t>Düdenbüttel</t>
  </si>
  <si>
    <t>KM ⌀ alt</t>
  </si>
  <si>
    <t>Mitte</t>
  </si>
  <si>
    <t>3 Bezirke</t>
  </si>
  <si>
    <t>Kreuztabellen neu</t>
  </si>
  <si>
    <t>Lemwerder</t>
  </si>
  <si>
    <t>X</t>
  </si>
  <si>
    <t>Glauchau</t>
  </si>
  <si>
    <t>Gärtringen 2x</t>
  </si>
  <si>
    <t>Halden</t>
  </si>
  <si>
    <t>Veitsbronn 2x</t>
  </si>
  <si>
    <t>Kreuztabelle neu</t>
  </si>
  <si>
    <t>Düdenbüttel 2x</t>
  </si>
  <si>
    <t>Veitsbronn</t>
  </si>
  <si>
    <t>Brettorf II</t>
  </si>
  <si>
    <t>Neugablonz</t>
  </si>
  <si>
    <t>Vaihingen</t>
  </si>
  <si>
    <t>Weisel</t>
  </si>
  <si>
    <t>Brettorf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</si>
</sst>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workbookViewId="0">
      <selection activeCell="A31" sqref="A31:M75"/>
    </sheetView>
  </sheetViews>
  <sheetFormatPr baseColWidth="10" defaultColWidth="10.875" defaultRowHeight="18.75" x14ac:dyDescent="0.25"/>
  <cols>
    <col min="1" max="1" width="18.375" style="1" customWidth="1"/>
    <col min="2" max="2" width="10.875" style="1"/>
    <col min="3" max="3" width="13.625" style="1" customWidth="1"/>
    <col min="4" max="4" width="10.875" style="1"/>
    <col min="5" max="5" width="11.875" style="1" customWidth="1"/>
    <col min="6" max="8" width="10.875" style="1"/>
    <col min="9" max="9" width="14.625" style="1" customWidth="1"/>
    <col min="10" max="10" width="13.875" style="1" customWidth="1"/>
    <col min="11" max="11" width="12.375" style="1" customWidth="1"/>
    <col min="12" max="16384" width="10.875" style="1"/>
  </cols>
  <sheetData>
    <row r="1" spans="1:12" s="7" customFormat="1" x14ac:dyDescent="0.25">
      <c r="A1" s="2" t="s">
        <v>26</v>
      </c>
      <c r="B1" s="7" t="s">
        <v>29</v>
      </c>
      <c r="C1" s="7" t="s">
        <v>27</v>
      </c>
      <c r="D1" s="7" t="s">
        <v>72</v>
      </c>
      <c r="E1" s="7" t="s">
        <v>66</v>
      </c>
      <c r="F1" s="7" t="s">
        <v>67</v>
      </c>
      <c r="G1" s="7" t="s">
        <v>68</v>
      </c>
      <c r="I1" s="7" t="s">
        <v>28</v>
      </c>
      <c r="J1" s="7" t="s">
        <v>66</v>
      </c>
      <c r="K1" s="7" t="s">
        <v>67</v>
      </c>
      <c r="L1" s="7" t="s">
        <v>68</v>
      </c>
    </row>
    <row r="2" spans="1:12" x14ac:dyDescent="0.25">
      <c r="G2" s="5"/>
      <c r="L2" s="5"/>
    </row>
    <row r="3" spans="1:12" x14ac:dyDescent="0.25">
      <c r="G3" s="5"/>
      <c r="L3" s="5"/>
    </row>
    <row r="4" spans="1:12" x14ac:dyDescent="0.25">
      <c r="G4" s="5"/>
      <c r="L4" s="5"/>
    </row>
    <row r="5" spans="1:12" x14ac:dyDescent="0.25">
      <c r="G5" s="5"/>
      <c r="L5" s="5"/>
    </row>
    <row r="6" spans="1:12" x14ac:dyDescent="0.25">
      <c r="G6" s="5"/>
      <c r="L6" s="5"/>
    </row>
    <row r="7" spans="1:12" x14ac:dyDescent="0.25">
      <c r="G7" s="5"/>
      <c r="L7" s="5"/>
    </row>
    <row r="8" spans="1:12" x14ac:dyDescent="0.25">
      <c r="G8" s="5"/>
      <c r="L8" s="5"/>
    </row>
    <row r="9" spans="1:12" x14ac:dyDescent="0.25">
      <c r="G9" s="5"/>
      <c r="L9" s="5"/>
    </row>
    <row r="10" spans="1:12" x14ac:dyDescent="0.25">
      <c r="G10" s="5"/>
      <c r="L10" s="5"/>
    </row>
    <row r="11" spans="1:12" x14ac:dyDescent="0.25">
      <c r="G11" s="5"/>
      <c r="L11" s="5"/>
    </row>
    <row r="12" spans="1:12" x14ac:dyDescent="0.25">
      <c r="G12" s="5"/>
      <c r="L12" s="5"/>
    </row>
    <row r="13" spans="1:12" x14ac:dyDescent="0.25">
      <c r="G13" s="5"/>
      <c r="L13" s="5"/>
    </row>
    <row r="14" spans="1:12" x14ac:dyDescent="0.25">
      <c r="G14" s="5"/>
      <c r="L14" s="5"/>
    </row>
    <row r="15" spans="1:12" x14ac:dyDescent="0.25">
      <c r="G15" s="5"/>
      <c r="L15" s="5"/>
    </row>
    <row r="16" spans="1:12" x14ac:dyDescent="0.25">
      <c r="G16" s="5"/>
      <c r="L16" s="5"/>
    </row>
    <row r="17" spans="7:12" x14ac:dyDescent="0.25">
      <c r="G17" s="5"/>
      <c r="L17" s="5"/>
    </row>
    <row r="18" spans="7:12" x14ac:dyDescent="0.25">
      <c r="G18" s="5"/>
      <c r="L18" s="5"/>
    </row>
    <row r="19" spans="7:12" x14ac:dyDescent="0.25">
      <c r="G19" s="5"/>
      <c r="L19" s="5"/>
    </row>
    <row r="20" spans="7:12" x14ac:dyDescent="0.25">
      <c r="G20" s="5"/>
      <c r="L20" s="5"/>
    </row>
    <row r="21" spans="7:12" x14ac:dyDescent="0.25">
      <c r="G21" s="5"/>
      <c r="L21" s="5"/>
    </row>
    <row r="22" spans="7:12" x14ac:dyDescent="0.25">
      <c r="G22" s="5"/>
      <c r="L22" s="5"/>
    </row>
    <row r="23" spans="7:12" x14ac:dyDescent="0.25">
      <c r="G23" s="5"/>
      <c r="L23" s="5"/>
    </row>
    <row r="24" spans="7:12" x14ac:dyDescent="0.25">
      <c r="G24" s="5"/>
      <c r="L24" s="5"/>
    </row>
    <row r="25" spans="7:12" x14ac:dyDescent="0.25">
      <c r="G25" s="5"/>
      <c r="L25" s="5"/>
    </row>
    <row r="26" spans="7:12" x14ac:dyDescent="0.25">
      <c r="G26" s="5"/>
      <c r="L26" s="5"/>
    </row>
    <row r="27" spans="7:12" x14ac:dyDescent="0.25">
      <c r="G27" s="5"/>
      <c r="L27" s="5"/>
    </row>
    <row r="28" spans="7:12" x14ac:dyDescent="0.25">
      <c r="G28" s="5"/>
      <c r="L28" s="5"/>
    </row>
    <row r="29" spans="7:12" x14ac:dyDescent="0.25">
      <c r="G29" s="5"/>
      <c r="L29" s="5"/>
    </row>
    <row r="31" spans="7:12" s="3" customFormat="1" x14ac:dyDescent="0.25"/>
    <row r="36" spans="1:12" x14ac:dyDescent="0.25">
      <c r="A36" s="7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C37" s="10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C38" s="10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25">
      <c r="C39" s="10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5">
      <c r="C40" s="10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25">
      <c r="C41" s="10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25">
      <c r="C42" s="10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C43" s="10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25">
      <c r="C44" s="10"/>
      <c r="D44" s="11"/>
      <c r="E44" s="11"/>
      <c r="F44" s="11"/>
      <c r="G44" s="11"/>
      <c r="H44" s="11"/>
      <c r="I44" s="11"/>
      <c r="J44" s="11"/>
      <c r="K44" s="11"/>
      <c r="L44" s="11"/>
    </row>
    <row r="45" spans="1:12" x14ac:dyDescent="0.25">
      <c r="C45" s="10"/>
      <c r="D45" s="11"/>
      <c r="E45" s="11"/>
      <c r="F45" s="11"/>
      <c r="G45" s="11"/>
      <c r="H45" s="11"/>
      <c r="I45" s="11"/>
      <c r="J45" s="11"/>
      <c r="K45" s="11"/>
      <c r="L45" s="11"/>
    </row>
    <row r="47" spans="1:12" x14ac:dyDescent="0.25">
      <c r="C47" s="9"/>
      <c r="D47" s="10"/>
      <c r="E47" s="10"/>
      <c r="F47" s="10"/>
      <c r="G47" s="10"/>
      <c r="H47" s="10"/>
      <c r="I47" s="10"/>
      <c r="J47" s="10"/>
    </row>
    <row r="48" spans="1:12" x14ac:dyDescent="0.25">
      <c r="C48" s="10"/>
      <c r="D48" s="11"/>
      <c r="E48" s="11"/>
      <c r="F48" s="11"/>
      <c r="G48" s="11"/>
      <c r="H48" s="11"/>
      <c r="I48" s="11"/>
      <c r="J48" s="11"/>
    </row>
    <row r="49" spans="3:13" x14ac:dyDescent="0.25">
      <c r="C49" s="10"/>
      <c r="D49" s="11"/>
      <c r="E49" s="11"/>
      <c r="F49" s="11"/>
      <c r="G49" s="11"/>
      <c r="H49" s="11"/>
      <c r="I49" s="11"/>
      <c r="J49" s="11"/>
    </row>
    <row r="50" spans="3:13" x14ac:dyDescent="0.25">
      <c r="C50" s="10"/>
      <c r="D50" s="11"/>
      <c r="E50" s="11"/>
      <c r="F50" s="11"/>
      <c r="G50" s="11"/>
      <c r="H50" s="11"/>
      <c r="I50" s="11"/>
      <c r="J50" s="11"/>
    </row>
    <row r="51" spans="3:13" x14ac:dyDescent="0.25">
      <c r="C51" s="10"/>
      <c r="D51" s="11"/>
      <c r="E51" s="11"/>
      <c r="F51" s="11"/>
      <c r="G51" s="11"/>
      <c r="H51" s="11"/>
      <c r="I51" s="11"/>
      <c r="J51" s="11"/>
    </row>
    <row r="52" spans="3:13" x14ac:dyDescent="0.25">
      <c r="C52" s="10"/>
      <c r="D52" s="11"/>
      <c r="E52" s="11"/>
      <c r="F52" s="11"/>
      <c r="G52" s="11"/>
      <c r="H52" s="11"/>
      <c r="I52" s="11"/>
      <c r="J52" s="11"/>
    </row>
    <row r="53" spans="3:13" x14ac:dyDescent="0.25">
      <c r="C53" s="10"/>
      <c r="D53" s="11"/>
      <c r="E53" s="11"/>
      <c r="F53" s="11"/>
      <c r="G53" s="11"/>
      <c r="H53" s="11"/>
      <c r="I53" s="11"/>
      <c r="J53" s="11"/>
    </row>
    <row r="54" spans="3:13" x14ac:dyDescent="0.25">
      <c r="C54" s="10"/>
      <c r="D54" s="11"/>
      <c r="E54" s="11"/>
      <c r="F54" s="11"/>
      <c r="G54" s="11"/>
      <c r="H54" s="11"/>
      <c r="I54" s="11"/>
      <c r="J54" s="11"/>
    </row>
    <row r="56" spans="3:13" x14ac:dyDescent="0.25"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3:13" x14ac:dyDescent="0.25"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x14ac:dyDescent="0.25"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3:13" x14ac:dyDescent="0.25"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3:13" x14ac:dyDescent="0.25"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3:13" x14ac:dyDescent="0.25"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3:13" x14ac:dyDescent="0.25"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3:13" x14ac:dyDescent="0.25"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3:13" x14ac:dyDescent="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3:13" x14ac:dyDescent="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3:13" x14ac:dyDescent="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workbookViewId="0">
      <selection sqref="A1:XFD1048576"/>
    </sheetView>
  </sheetViews>
  <sheetFormatPr baseColWidth="10" defaultColWidth="10.875" defaultRowHeight="18.75" x14ac:dyDescent="0.25"/>
  <cols>
    <col min="1" max="1" width="18.375" style="1" customWidth="1"/>
    <col min="2" max="2" width="10.875" style="1"/>
    <col min="3" max="3" width="13.625" style="1" customWidth="1"/>
    <col min="4" max="4" width="10.875" style="1"/>
    <col min="5" max="5" width="11.875" style="1" customWidth="1"/>
    <col min="6" max="8" width="10.875" style="1"/>
    <col min="9" max="9" width="14.625" style="1" customWidth="1"/>
    <col min="10" max="10" width="13.875" style="1" customWidth="1"/>
    <col min="11" max="11" width="12.375" style="1" customWidth="1"/>
    <col min="12" max="16384" width="10.875" style="1"/>
  </cols>
  <sheetData>
    <row r="1" spans="1:12" s="7" customFormat="1" x14ac:dyDescent="0.25">
      <c r="A1" s="2" t="s">
        <v>26</v>
      </c>
      <c r="B1" s="7" t="s">
        <v>29</v>
      </c>
      <c r="C1" s="7" t="s">
        <v>27</v>
      </c>
      <c r="D1" s="7" t="s">
        <v>72</v>
      </c>
      <c r="E1" s="7" t="s">
        <v>66</v>
      </c>
      <c r="F1" s="7" t="s">
        <v>67</v>
      </c>
      <c r="G1" s="7" t="s">
        <v>68</v>
      </c>
      <c r="I1" s="7" t="s">
        <v>28</v>
      </c>
      <c r="J1" s="7" t="s">
        <v>66</v>
      </c>
      <c r="K1" s="7" t="s">
        <v>67</v>
      </c>
      <c r="L1" s="7" t="s">
        <v>68</v>
      </c>
    </row>
    <row r="2" spans="1:12" x14ac:dyDescent="0.25">
      <c r="A2" s="1" t="s">
        <v>4</v>
      </c>
      <c r="B2" s="1" t="s">
        <v>30</v>
      </c>
      <c r="E2" s="1">
        <v>268</v>
      </c>
      <c r="F2" s="1">
        <v>0</v>
      </c>
      <c r="G2" s="5">
        <f>528/6</f>
        <v>88</v>
      </c>
      <c r="I2" s="1" t="s">
        <v>30</v>
      </c>
      <c r="J2" s="1">
        <v>334</v>
      </c>
      <c r="K2" s="1">
        <v>0</v>
      </c>
      <c r="L2" s="5">
        <f>1352/10</f>
        <v>135.19999999999999</v>
      </c>
    </row>
    <row r="3" spans="1:12" x14ac:dyDescent="0.25">
      <c r="A3" s="1" t="s">
        <v>85</v>
      </c>
      <c r="B3" s="1" t="s">
        <v>30</v>
      </c>
      <c r="E3" s="1">
        <v>268</v>
      </c>
      <c r="F3" s="1">
        <v>0</v>
      </c>
      <c r="G3" s="5">
        <f>528/6</f>
        <v>88</v>
      </c>
      <c r="I3" s="1" t="s">
        <v>30</v>
      </c>
      <c r="J3" s="1">
        <v>334</v>
      </c>
      <c r="K3" s="1">
        <v>0</v>
      </c>
      <c r="L3" s="5">
        <f>1352/10</f>
        <v>135.19999999999999</v>
      </c>
    </row>
    <row r="4" spans="1:12" x14ac:dyDescent="0.25">
      <c r="A4" s="1" t="s">
        <v>1</v>
      </c>
      <c r="B4" s="1" t="s">
        <v>30</v>
      </c>
      <c r="E4" s="1">
        <v>267</v>
      </c>
      <c r="F4" s="1">
        <v>83</v>
      </c>
      <c r="G4" s="5">
        <f>891/6</f>
        <v>148.5</v>
      </c>
      <c r="I4" s="1" t="s">
        <v>73</v>
      </c>
      <c r="J4" s="1">
        <v>446</v>
      </c>
      <c r="K4" s="1">
        <v>52</v>
      </c>
      <c r="L4" s="5">
        <f>1623/6</f>
        <v>270.5</v>
      </c>
    </row>
    <row r="5" spans="1:12" x14ac:dyDescent="0.25">
      <c r="A5" s="1" t="s">
        <v>76</v>
      </c>
      <c r="B5" s="1" t="s">
        <v>30</v>
      </c>
      <c r="E5" s="1">
        <v>312</v>
      </c>
      <c r="F5" s="1">
        <v>31</v>
      </c>
      <c r="G5" s="5">
        <f>672/6</f>
        <v>112</v>
      </c>
      <c r="I5" s="1" t="s">
        <v>30</v>
      </c>
      <c r="J5" s="1">
        <v>322</v>
      </c>
      <c r="K5" s="1">
        <v>31</v>
      </c>
      <c r="L5" s="5">
        <f>1263/10</f>
        <v>126.3</v>
      </c>
    </row>
    <row r="6" spans="1:12" x14ac:dyDescent="0.25">
      <c r="A6" s="1" t="s">
        <v>0</v>
      </c>
      <c r="B6" s="1" t="s">
        <v>30</v>
      </c>
      <c r="E6" s="1">
        <v>270</v>
      </c>
      <c r="F6" s="1">
        <v>26</v>
      </c>
      <c r="G6" s="5">
        <f>618/6</f>
        <v>103</v>
      </c>
      <c r="I6" s="1" t="s">
        <v>30</v>
      </c>
      <c r="J6" s="1">
        <v>355</v>
      </c>
      <c r="K6" s="1">
        <v>26</v>
      </c>
      <c r="L6" s="5">
        <f>1427/10</f>
        <v>142.69999999999999</v>
      </c>
    </row>
    <row r="7" spans="1:12" x14ac:dyDescent="0.25">
      <c r="A7" s="1" t="s">
        <v>36</v>
      </c>
      <c r="B7" s="1" t="s">
        <v>30</v>
      </c>
      <c r="E7" s="1">
        <v>312</v>
      </c>
      <c r="F7" s="1">
        <v>227</v>
      </c>
      <c r="G7" s="5">
        <f>1612/6</f>
        <v>268.66666666666669</v>
      </c>
      <c r="I7" s="1" t="s">
        <v>73</v>
      </c>
      <c r="J7" s="1">
        <v>300</v>
      </c>
      <c r="K7" s="1">
        <v>166</v>
      </c>
      <c r="L7" s="5">
        <f>1445/6</f>
        <v>240.83333333333334</v>
      </c>
    </row>
    <row r="8" spans="1:12" x14ac:dyDescent="0.25">
      <c r="A8" s="1" t="s">
        <v>54</v>
      </c>
      <c r="B8" s="1" t="s">
        <v>30</v>
      </c>
      <c r="E8" s="1">
        <v>227</v>
      </c>
      <c r="F8" s="1">
        <v>77</v>
      </c>
      <c r="G8" s="5">
        <f>665/6</f>
        <v>110.83333333333333</v>
      </c>
      <c r="I8" s="1" t="s">
        <v>73</v>
      </c>
      <c r="J8" s="1">
        <v>471</v>
      </c>
      <c r="K8" s="1">
        <v>83</v>
      </c>
      <c r="L8" s="5">
        <f>1631/6</f>
        <v>271.83333333333331</v>
      </c>
    </row>
    <row r="9" spans="1:12" x14ac:dyDescent="0.25">
      <c r="A9" s="1" t="s">
        <v>9</v>
      </c>
      <c r="B9" s="1" t="s">
        <v>31</v>
      </c>
      <c r="E9" s="1">
        <v>257</v>
      </c>
      <c r="F9" s="1">
        <v>21</v>
      </c>
      <c r="G9" s="5">
        <f>1005/8</f>
        <v>125.625</v>
      </c>
      <c r="I9" s="1" t="s">
        <v>31</v>
      </c>
      <c r="J9" s="1">
        <v>257</v>
      </c>
      <c r="K9" s="1">
        <v>21</v>
      </c>
      <c r="L9" s="5">
        <f>1070/9</f>
        <v>118.88888888888889</v>
      </c>
    </row>
    <row r="10" spans="1:12" x14ac:dyDescent="0.25">
      <c r="A10" s="1" t="s">
        <v>39</v>
      </c>
      <c r="B10" s="1" t="s">
        <v>31</v>
      </c>
      <c r="E10" s="1">
        <v>212</v>
      </c>
      <c r="F10" s="1">
        <v>120</v>
      </c>
      <c r="G10" s="5">
        <f>1347/8</f>
        <v>168.375</v>
      </c>
      <c r="I10" s="1" t="s">
        <v>31</v>
      </c>
      <c r="J10" s="1">
        <v>212</v>
      </c>
      <c r="K10" s="1">
        <v>118</v>
      </c>
      <c r="L10" s="5">
        <f>1541/9</f>
        <v>171.22222222222223</v>
      </c>
    </row>
    <row r="11" spans="1:12" x14ac:dyDescent="0.25">
      <c r="A11" s="1" t="s">
        <v>38</v>
      </c>
      <c r="B11" s="1" t="s">
        <v>31</v>
      </c>
      <c r="E11" s="1">
        <v>238</v>
      </c>
      <c r="F11" s="1">
        <v>72</v>
      </c>
      <c r="G11" s="5">
        <f>1317/8</f>
        <v>164.625</v>
      </c>
      <c r="I11" s="1" t="s">
        <v>31</v>
      </c>
      <c r="J11" s="1">
        <v>189</v>
      </c>
      <c r="K11" s="1">
        <v>72</v>
      </c>
      <c r="L11" s="5">
        <f>1424/9</f>
        <v>158.22222222222223</v>
      </c>
    </row>
    <row r="12" spans="1:12" x14ac:dyDescent="0.25">
      <c r="A12" s="1" t="s">
        <v>10</v>
      </c>
      <c r="B12" s="1" t="s">
        <v>31</v>
      </c>
      <c r="E12" s="1">
        <v>296</v>
      </c>
      <c r="F12" s="1">
        <v>115</v>
      </c>
      <c r="G12" s="5">
        <f>1833/8</f>
        <v>229.125</v>
      </c>
      <c r="I12" s="1" t="s">
        <v>31</v>
      </c>
      <c r="J12" s="1">
        <v>296</v>
      </c>
      <c r="K12" s="1">
        <v>115</v>
      </c>
      <c r="L12" s="5">
        <f>2111/9</f>
        <v>234.55555555555554</v>
      </c>
    </row>
    <row r="13" spans="1:12" x14ac:dyDescent="0.25">
      <c r="A13" s="1" t="s">
        <v>41</v>
      </c>
      <c r="B13" s="1" t="s">
        <v>31</v>
      </c>
      <c r="E13" s="1">
        <v>273</v>
      </c>
      <c r="F13" s="1">
        <v>72</v>
      </c>
      <c r="G13" s="5">
        <f>1062/8</f>
        <v>132.75</v>
      </c>
      <c r="I13" s="1" t="s">
        <v>31</v>
      </c>
      <c r="J13" s="1">
        <v>273</v>
      </c>
      <c r="K13" s="1">
        <v>72</v>
      </c>
      <c r="L13" s="5">
        <f>1155/9</f>
        <v>128.33333333333334</v>
      </c>
    </row>
    <row r="14" spans="1:12" x14ac:dyDescent="0.25">
      <c r="A14" s="1" t="s">
        <v>40</v>
      </c>
      <c r="B14" s="1" t="s">
        <v>31</v>
      </c>
      <c r="E14" s="1">
        <v>236</v>
      </c>
      <c r="F14" s="1">
        <v>8</v>
      </c>
      <c r="G14" s="5">
        <f>1010/8</f>
        <v>126.25</v>
      </c>
      <c r="I14" s="1" t="s">
        <v>31</v>
      </c>
      <c r="J14" s="1">
        <v>288</v>
      </c>
      <c r="K14" s="1">
        <v>8</v>
      </c>
      <c r="L14" s="5">
        <f>1157/9</f>
        <v>128.55555555555554</v>
      </c>
    </row>
    <row r="15" spans="1:12" x14ac:dyDescent="0.25">
      <c r="A15" s="1" t="s">
        <v>14</v>
      </c>
      <c r="B15" s="1" t="s">
        <v>31</v>
      </c>
      <c r="E15" s="1">
        <v>239</v>
      </c>
      <c r="F15" s="1">
        <v>8</v>
      </c>
      <c r="G15" s="5">
        <f>1131/8</f>
        <v>141.375</v>
      </c>
      <c r="I15" s="1" t="s">
        <v>31</v>
      </c>
      <c r="J15" s="1">
        <v>290</v>
      </c>
      <c r="K15" s="1">
        <v>8</v>
      </c>
      <c r="L15" s="5">
        <f>1179/9</f>
        <v>131</v>
      </c>
    </row>
    <row r="16" spans="1:12" x14ac:dyDescent="0.25">
      <c r="A16" s="1" t="s">
        <v>86</v>
      </c>
      <c r="B16" s="1" t="s">
        <v>31</v>
      </c>
      <c r="E16" s="1">
        <v>296</v>
      </c>
      <c r="F16" s="1">
        <v>196</v>
      </c>
      <c r="G16" s="5">
        <f>1928/8</f>
        <v>241</v>
      </c>
      <c r="I16" s="1" t="s">
        <v>31</v>
      </c>
      <c r="J16" s="1">
        <v>296</v>
      </c>
      <c r="K16" s="1">
        <v>196</v>
      </c>
      <c r="L16" s="5">
        <f>2206/9</f>
        <v>245.11111111111111</v>
      </c>
    </row>
    <row r="17" spans="1:12" x14ac:dyDescent="0.25">
      <c r="A17" s="1" t="s">
        <v>87</v>
      </c>
      <c r="B17" s="1" t="s">
        <v>31</v>
      </c>
      <c r="E17" s="1">
        <v>265</v>
      </c>
      <c r="F17" s="1">
        <v>21</v>
      </c>
      <c r="G17" s="5">
        <f>1125/8</f>
        <v>140.625</v>
      </c>
      <c r="I17" s="1" t="s">
        <v>31</v>
      </c>
      <c r="J17" s="1">
        <v>265</v>
      </c>
      <c r="K17" s="1">
        <v>21</v>
      </c>
      <c r="L17" s="5">
        <f>1076/9</f>
        <v>119.55555555555556</v>
      </c>
    </row>
    <row r="18" spans="1:12" x14ac:dyDescent="0.25">
      <c r="A18" s="1" t="s">
        <v>16</v>
      </c>
      <c r="B18" s="1" t="s">
        <v>32</v>
      </c>
      <c r="E18" s="1">
        <v>129</v>
      </c>
      <c r="F18" s="1">
        <v>91</v>
      </c>
      <c r="G18" s="5">
        <f>312/3</f>
        <v>104</v>
      </c>
      <c r="I18" s="1" t="s">
        <v>73</v>
      </c>
      <c r="J18" s="1">
        <v>402</v>
      </c>
      <c r="K18" s="1">
        <v>91</v>
      </c>
      <c r="L18" s="5">
        <f>1567/6</f>
        <v>261.16666666666669</v>
      </c>
    </row>
    <row r="19" spans="1:12" x14ac:dyDescent="0.25">
      <c r="A19" s="1" t="s">
        <v>18</v>
      </c>
      <c r="B19" s="1" t="s">
        <v>32</v>
      </c>
      <c r="E19" s="1">
        <v>171</v>
      </c>
      <c r="F19" s="1">
        <v>110</v>
      </c>
      <c r="G19" s="5">
        <f>410/3</f>
        <v>136.66666666666666</v>
      </c>
      <c r="I19" s="1" t="s">
        <v>31</v>
      </c>
      <c r="J19" s="1">
        <v>278</v>
      </c>
      <c r="K19" s="1">
        <v>25</v>
      </c>
      <c r="L19" s="5">
        <f>1172/9</f>
        <v>130.22222222222223</v>
      </c>
    </row>
    <row r="20" spans="1:12" x14ac:dyDescent="0.25">
      <c r="A20" s="1" t="s">
        <v>17</v>
      </c>
      <c r="B20" s="1" t="s">
        <v>32</v>
      </c>
      <c r="E20" s="1">
        <v>110</v>
      </c>
      <c r="F20" s="1">
        <v>54</v>
      </c>
      <c r="G20" s="5">
        <f>255/3</f>
        <v>85</v>
      </c>
      <c r="I20" s="1" t="s">
        <v>73</v>
      </c>
      <c r="J20" s="1">
        <v>482</v>
      </c>
      <c r="K20" s="1">
        <v>54</v>
      </c>
      <c r="L20" s="5">
        <f>1814/6</f>
        <v>302.33333333333331</v>
      </c>
    </row>
    <row r="21" spans="1:12" x14ac:dyDescent="0.25">
      <c r="A21" s="1" t="s">
        <v>88</v>
      </c>
      <c r="B21" s="1" t="s">
        <v>32</v>
      </c>
      <c r="E21" s="1">
        <v>171</v>
      </c>
      <c r="F21" s="1">
        <v>54</v>
      </c>
      <c r="G21" s="5">
        <f>317/3</f>
        <v>105.66666666666667</v>
      </c>
      <c r="I21" s="1" t="s">
        <v>73</v>
      </c>
      <c r="J21" s="1">
        <v>439</v>
      </c>
      <c r="K21" s="1">
        <v>54</v>
      </c>
      <c r="L21" s="5">
        <f>1525/6</f>
        <v>254.16666666666666</v>
      </c>
    </row>
    <row r="22" spans="1:12" x14ac:dyDescent="0.25">
      <c r="A22" s="1" t="s">
        <v>71</v>
      </c>
      <c r="B22" s="1" t="s">
        <v>33</v>
      </c>
      <c r="E22" s="1">
        <v>248</v>
      </c>
      <c r="F22" s="1">
        <v>0</v>
      </c>
      <c r="G22" s="5">
        <f>696/7</f>
        <v>99.428571428571431</v>
      </c>
      <c r="I22" s="1" t="s">
        <v>30</v>
      </c>
      <c r="J22" s="1">
        <v>248</v>
      </c>
      <c r="K22" s="1">
        <v>0</v>
      </c>
      <c r="L22" s="5">
        <f>989/10</f>
        <v>98.9</v>
      </c>
    </row>
    <row r="23" spans="1:12" x14ac:dyDescent="0.25">
      <c r="A23" s="1" t="s">
        <v>70</v>
      </c>
      <c r="B23" s="1" t="s">
        <v>33</v>
      </c>
      <c r="E23" s="1">
        <v>248</v>
      </c>
      <c r="F23" s="1">
        <v>0</v>
      </c>
      <c r="G23" s="5">
        <f>696/7</f>
        <v>99.428571428571431</v>
      </c>
      <c r="I23" s="1" t="s">
        <v>30</v>
      </c>
      <c r="J23" s="1">
        <v>248</v>
      </c>
      <c r="K23" s="1">
        <v>0</v>
      </c>
      <c r="L23" s="5">
        <f>989/10</f>
        <v>98.9</v>
      </c>
    </row>
    <row r="24" spans="1:12" x14ac:dyDescent="0.25">
      <c r="A24" s="1" t="s">
        <v>46</v>
      </c>
      <c r="B24" s="1" t="s">
        <v>33</v>
      </c>
      <c r="E24" s="1">
        <v>274</v>
      </c>
      <c r="F24" s="1">
        <v>189</v>
      </c>
      <c r="G24" s="5">
        <f>1447/7</f>
        <v>206.71428571428572</v>
      </c>
      <c r="I24" s="1" t="s">
        <v>30</v>
      </c>
      <c r="J24" s="1">
        <v>355</v>
      </c>
      <c r="K24" s="1">
        <v>189</v>
      </c>
      <c r="L24" s="5">
        <f>2768/10</f>
        <v>276.8</v>
      </c>
    </row>
    <row r="25" spans="1:12" x14ac:dyDescent="0.25">
      <c r="A25" s="1" t="s">
        <v>20</v>
      </c>
      <c r="B25" s="1" t="s">
        <v>33</v>
      </c>
      <c r="E25" s="1">
        <v>274</v>
      </c>
      <c r="F25" s="1">
        <v>109</v>
      </c>
      <c r="G25" s="5">
        <f>1142/7</f>
        <v>163.14285714285714</v>
      </c>
      <c r="I25" s="1" t="s">
        <v>73</v>
      </c>
      <c r="J25" s="1">
        <v>482</v>
      </c>
      <c r="K25" s="1">
        <v>52</v>
      </c>
      <c r="L25" s="5">
        <f>1759/6</f>
        <v>293.16666666666669</v>
      </c>
    </row>
    <row r="26" spans="1:12" x14ac:dyDescent="0.25">
      <c r="A26" s="1" t="s">
        <v>45</v>
      </c>
      <c r="B26" s="1" t="s">
        <v>33</v>
      </c>
      <c r="E26" s="1">
        <v>252</v>
      </c>
      <c r="F26" s="1">
        <v>10</v>
      </c>
      <c r="G26" s="5">
        <f>700/7</f>
        <v>100</v>
      </c>
      <c r="I26" s="1" t="s">
        <v>30</v>
      </c>
      <c r="J26" s="1">
        <v>252</v>
      </c>
      <c r="K26" s="1">
        <v>10</v>
      </c>
      <c r="L26" s="5">
        <f>995/10</f>
        <v>99.5</v>
      </c>
    </row>
    <row r="27" spans="1:12" x14ac:dyDescent="0.25">
      <c r="A27" s="1" t="s">
        <v>47</v>
      </c>
      <c r="B27" s="1" t="s">
        <v>33</v>
      </c>
      <c r="E27" s="1">
        <v>189</v>
      </c>
      <c r="F27" s="1">
        <v>15</v>
      </c>
      <c r="G27" s="5">
        <f>663/7</f>
        <v>94.714285714285708</v>
      </c>
      <c r="I27" s="1" t="s">
        <v>30</v>
      </c>
      <c r="J27" s="1">
        <v>216</v>
      </c>
      <c r="K27" s="1">
        <v>15</v>
      </c>
      <c r="L27" s="5">
        <f>1345/10</f>
        <v>134.5</v>
      </c>
    </row>
    <row r="28" spans="1:12" x14ac:dyDescent="0.25">
      <c r="A28" s="1" t="s">
        <v>21</v>
      </c>
      <c r="B28" s="1" t="s">
        <v>33</v>
      </c>
      <c r="E28" s="1">
        <v>281</v>
      </c>
      <c r="F28" s="1">
        <v>31</v>
      </c>
      <c r="G28" s="5">
        <f>979/7</f>
        <v>139.85714285714286</v>
      </c>
      <c r="I28" s="1" t="s">
        <v>30</v>
      </c>
      <c r="J28" s="1">
        <v>281</v>
      </c>
      <c r="K28" s="1">
        <v>31</v>
      </c>
      <c r="L28" s="5">
        <f>1670/10</f>
        <v>167</v>
      </c>
    </row>
    <row r="29" spans="1:12" x14ac:dyDescent="0.25">
      <c r="A29" s="1" t="s">
        <v>22</v>
      </c>
      <c r="B29" s="1" t="s">
        <v>33</v>
      </c>
      <c r="E29" s="1">
        <v>205</v>
      </c>
      <c r="F29" s="1">
        <v>15</v>
      </c>
      <c r="G29" s="5">
        <f>593/7</f>
        <v>84.714285714285708</v>
      </c>
      <c r="I29" s="1" t="s">
        <v>30</v>
      </c>
      <c r="J29" s="1">
        <v>226</v>
      </c>
      <c r="K29" s="1">
        <v>15</v>
      </c>
      <c r="L29" s="5">
        <f>1258/10</f>
        <v>125.8</v>
      </c>
    </row>
    <row r="31" spans="1:12" s="3" customFormat="1" x14ac:dyDescent="0.25">
      <c r="A31" s="3" t="s">
        <v>61</v>
      </c>
      <c r="B31" s="3" t="s">
        <v>65</v>
      </c>
    </row>
    <row r="36" spans="1:12" x14ac:dyDescent="0.25">
      <c r="A36" s="7" t="s">
        <v>82</v>
      </c>
      <c r="C36" s="9" t="s">
        <v>30</v>
      </c>
      <c r="D36" s="10" t="s">
        <v>21</v>
      </c>
      <c r="E36" s="10" t="s">
        <v>47</v>
      </c>
      <c r="F36" s="10" t="s">
        <v>22</v>
      </c>
      <c r="G36" s="10" t="s">
        <v>46</v>
      </c>
      <c r="H36" s="10" t="s">
        <v>45</v>
      </c>
      <c r="I36" s="10" t="s">
        <v>83</v>
      </c>
      <c r="J36" s="10" t="s">
        <v>89</v>
      </c>
      <c r="K36" s="10" t="s">
        <v>0</v>
      </c>
      <c r="L36" s="10" t="s">
        <v>76</v>
      </c>
    </row>
    <row r="37" spans="1:12" x14ac:dyDescent="0.25">
      <c r="C37" s="10" t="s">
        <v>21</v>
      </c>
      <c r="D37" s="11" t="s">
        <v>77</v>
      </c>
      <c r="E37" s="11">
        <v>96</v>
      </c>
      <c r="F37" s="11">
        <v>31</v>
      </c>
      <c r="G37" s="11">
        <v>281</v>
      </c>
      <c r="H37" s="11">
        <v>130</v>
      </c>
      <c r="I37" s="11">
        <v>125</v>
      </c>
      <c r="J37" s="11">
        <v>219</v>
      </c>
      <c r="K37" s="11">
        <v>239</v>
      </c>
      <c r="L37" s="11">
        <v>205</v>
      </c>
    </row>
    <row r="38" spans="1:12" x14ac:dyDescent="0.25">
      <c r="C38" s="10" t="s">
        <v>47</v>
      </c>
      <c r="D38" s="11">
        <v>96</v>
      </c>
      <c r="E38" s="11" t="s">
        <v>77</v>
      </c>
      <c r="F38" s="11">
        <v>15</v>
      </c>
      <c r="G38" s="11">
        <v>189</v>
      </c>
      <c r="H38" s="11">
        <v>88</v>
      </c>
      <c r="I38" s="11">
        <v>83</v>
      </c>
      <c r="J38" s="11">
        <v>196</v>
      </c>
      <c r="K38" s="11">
        <v>216</v>
      </c>
      <c r="L38" s="11">
        <v>183</v>
      </c>
    </row>
    <row r="39" spans="1:12" x14ac:dyDescent="0.25">
      <c r="C39" s="10" t="s">
        <v>22</v>
      </c>
      <c r="D39" s="11">
        <v>31</v>
      </c>
      <c r="E39" s="11">
        <v>15</v>
      </c>
      <c r="F39" s="11" t="s">
        <v>77</v>
      </c>
      <c r="G39" s="11">
        <v>205</v>
      </c>
      <c r="H39" s="11">
        <v>78</v>
      </c>
      <c r="I39" s="11">
        <v>72</v>
      </c>
      <c r="J39" s="11">
        <v>210</v>
      </c>
      <c r="K39" s="11">
        <v>226</v>
      </c>
      <c r="L39" s="11">
        <v>197</v>
      </c>
    </row>
    <row r="40" spans="1:12" x14ac:dyDescent="0.25">
      <c r="C40" s="10" t="s">
        <v>46</v>
      </c>
      <c r="D40" s="11">
        <v>281</v>
      </c>
      <c r="E40" s="11">
        <v>189</v>
      </c>
      <c r="F40" s="11">
        <v>205</v>
      </c>
      <c r="G40" s="11" t="s">
        <v>77</v>
      </c>
      <c r="H40" s="11">
        <v>252</v>
      </c>
      <c r="I40" s="11">
        <v>248</v>
      </c>
      <c r="J40" s="11">
        <v>334</v>
      </c>
      <c r="K40" s="11">
        <v>355</v>
      </c>
      <c r="L40" s="11">
        <v>322</v>
      </c>
    </row>
    <row r="41" spans="1:12" x14ac:dyDescent="0.25">
      <c r="C41" s="10" t="s">
        <v>45</v>
      </c>
      <c r="D41" s="11">
        <v>130</v>
      </c>
      <c r="E41" s="11">
        <v>88</v>
      </c>
      <c r="F41" s="11">
        <v>78</v>
      </c>
      <c r="G41" s="11">
        <v>252</v>
      </c>
      <c r="H41" s="11" t="s">
        <v>77</v>
      </c>
      <c r="I41" s="11">
        <v>10</v>
      </c>
      <c r="J41" s="11">
        <v>108</v>
      </c>
      <c r="K41" s="11">
        <v>134</v>
      </c>
      <c r="L41" s="11">
        <v>77</v>
      </c>
    </row>
    <row r="42" spans="1:12" x14ac:dyDescent="0.25">
      <c r="C42" s="10" t="s">
        <v>83</v>
      </c>
      <c r="D42" s="11">
        <v>125</v>
      </c>
      <c r="E42" s="11">
        <v>83</v>
      </c>
      <c r="F42" s="11">
        <v>72</v>
      </c>
      <c r="G42" s="11">
        <v>248</v>
      </c>
      <c r="H42" s="11">
        <v>10</v>
      </c>
      <c r="I42" s="11" t="s">
        <v>77</v>
      </c>
      <c r="J42" s="11">
        <v>114</v>
      </c>
      <c r="K42" s="11">
        <v>140</v>
      </c>
      <c r="L42" s="11">
        <v>83</v>
      </c>
    </row>
    <row r="43" spans="1:12" x14ac:dyDescent="0.25">
      <c r="C43" s="10" t="s">
        <v>89</v>
      </c>
      <c r="D43" s="11">
        <v>219</v>
      </c>
      <c r="E43" s="11">
        <v>196</v>
      </c>
      <c r="F43" s="11">
        <v>210</v>
      </c>
      <c r="G43" s="11">
        <v>334</v>
      </c>
      <c r="H43" s="11">
        <v>108</v>
      </c>
      <c r="I43" s="11">
        <v>114</v>
      </c>
      <c r="J43" s="11" t="s">
        <v>77</v>
      </c>
      <c r="K43" s="11">
        <v>26</v>
      </c>
      <c r="L43" s="11">
        <v>31</v>
      </c>
    </row>
    <row r="44" spans="1:12" x14ac:dyDescent="0.25">
      <c r="C44" s="10" t="s">
        <v>0</v>
      </c>
      <c r="D44" s="11">
        <v>239</v>
      </c>
      <c r="E44" s="11">
        <v>216</v>
      </c>
      <c r="F44" s="11">
        <v>226</v>
      </c>
      <c r="G44" s="11">
        <v>355</v>
      </c>
      <c r="H44" s="11">
        <v>134</v>
      </c>
      <c r="I44" s="11">
        <v>140</v>
      </c>
      <c r="J44" s="11">
        <v>26</v>
      </c>
      <c r="K44" s="11" t="s">
        <v>77</v>
      </c>
      <c r="L44" s="11">
        <v>51</v>
      </c>
    </row>
    <row r="45" spans="1:12" x14ac:dyDescent="0.25">
      <c r="C45" s="10" t="s">
        <v>76</v>
      </c>
      <c r="D45" s="11">
        <v>205</v>
      </c>
      <c r="E45" s="11">
        <v>183</v>
      </c>
      <c r="F45" s="11">
        <v>197</v>
      </c>
      <c r="G45" s="11">
        <v>322</v>
      </c>
      <c r="H45" s="11">
        <v>77</v>
      </c>
      <c r="I45" s="11">
        <v>83</v>
      </c>
      <c r="J45" s="11">
        <v>31</v>
      </c>
      <c r="K45" s="11">
        <v>51</v>
      </c>
      <c r="L45" s="11" t="s">
        <v>77</v>
      </c>
    </row>
    <row r="47" spans="1:12" x14ac:dyDescent="0.25">
      <c r="C47" s="9" t="s">
        <v>73</v>
      </c>
      <c r="D47" s="10" t="s">
        <v>1</v>
      </c>
      <c r="E47" s="10" t="s">
        <v>36</v>
      </c>
      <c r="F47" s="10" t="s">
        <v>54</v>
      </c>
      <c r="G47" s="10" t="s">
        <v>16</v>
      </c>
      <c r="H47" s="10" t="s">
        <v>17</v>
      </c>
      <c r="I47" s="10" t="s">
        <v>88</v>
      </c>
      <c r="J47" s="10" t="s">
        <v>20</v>
      </c>
    </row>
    <row r="48" spans="1:12" x14ac:dyDescent="0.25">
      <c r="C48" s="10" t="s">
        <v>1</v>
      </c>
      <c r="D48" s="11" t="s">
        <v>77</v>
      </c>
      <c r="E48" s="11">
        <v>267</v>
      </c>
      <c r="F48" s="11">
        <v>83</v>
      </c>
      <c r="G48" s="11">
        <v>369</v>
      </c>
      <c r="H48" s="11">
        <v>446</v>
      </c>
      <c r="I48" s="11">
        <v>406</v>
      </c>
      <c r="J48" s="11">
        <v>52</v>
      </c>
    </row>
    <row r="49" spans="3:13" x14ac:dyDescent="0.25">
      <c r="C49" s="10" t="s">
        <v>36</v>
      </c>
      <c r="D49" s="11">
        <v>267</v>
      </c>
      <c r="E49" s="11" t="s">
        <v>77</v>
      </c>
      <c r="F49" s="11">
        <v>227</v>
      </c>
      <c r="G49" s="11">
        <v>215</v>
      </c>
      <c r="H49" s="11">
        <v>270</v>
      </c>
      <c r="I49" s="11">
        <v>166</v>
      </c>
      <c r="J49" s="11">
        <v>300</v>
      </c>
    </row>
    <row r="50" spans="3:13" x14ac:dyDescent="0.25">
      <c r="C50" s="10" t="s">
        <v>54</v>
      </c>
      <c r="D50" s="11">
        <v>83</v>
      </c>
      <c r="E50" s="11">
        <v>227</v>
      </c>
      <c r="F50" s="11" t="s">
        <v>77</v>
      </c>
      <c r="G50" s="11">
        <v>398</v>
      </c>
      <c r="H50" s="11">
        <v>471</v>
      </c>
      <c r="I50" s="11">
        <v>368</v>
      </c>
      <c r="J50" s="11">
        <v>84</v>
      </c>
    </row>
    <row r="51" spans="3:13" x14ac:dyDescent="0.25">
      <c r="C51" s="10" t="s">
        <v>16</v>
      </c>
      <c r="D51" s="11">
        <v>369</v>
      </c>
      <c r="E51" s="11">
        <v>215</v>
      </c>
      <c r="F51" s="11">
        <v>398</v>
      </c>
      <c r="G51" s="11" t="s">
        <v>77</v>
      </c>
      <c r="H51" s="11">
        <v>91</v>
      </c>
      <c r="I51" s="11">
        <v>92</v>
      </c>
      <c r="J51" s="11">
        <v>402</v>
      </c>
    </row>
    <row r="52" spans="3:13" x14ac:dyDescent="0.25">
      <c r="C52" s="10" t="s">
        <v>17</v>
      </c>
      <c r="D52" s="11">
        <v>446</v>
      </c>
      <c r="E52" s="11">
        <v>270</v>
      </c>
      <c r="F52" s="11">
        <v>471</v>
      </c>
      <c r="G52" s="11">
        <v>91</v>
      </c>
      <c r="H52" s="11" t="s">
        <v>77</v>
      </c>
      <c r="I52" s="11">
        <v>54</v>
      </c>
      <c r="J52" s="11">
        <v>482</v>
      </c>
    </row>
    <row r="53" spans="3:13" x14ac:dyDescent="0.25">
      <c r="C53" s="10" t="s">
        <v>88</v>
      </c>
      <c r="D53" s="11">
        <v>406</v>
      </c>
      <c r="E53" s="11">
        <v>166</v>
      </c>
      <c r="F53" s="11">
        <v>368</v>
      </c>
      <c r="G53" s="11">
        <v>92</v>
      </c>
      <c r="H53" s="11">
        <v>54</v>
      </c>
      <c r="I53" s="11" t="s">
        <v>77</v>
      </c>
      <c r="J53" s="11">
        <v>439</v>
      </c>
    </row>
    <row r="54" spans="3:13" x14ac:dyDescent="0.25">
      <c r="C54" s="10" t="s">
        <v>20</v>
      </c>
      <c r="D54" s="11">
        <v>52</v>
      </c>
      <c r="E54" s="11">
        <v>300</v>
      </c>
      <c r="F54" s="11">
        <v>84</v>
      </c>
      <c r="G54" s="11">
        <v>402</v>
      </c>
      <c r="H54" s="11">
        <v>482</v>
      </c>
      <c r="I54" s="11">
        <v>439</v>
      </c>
      <c r="J54" s="11" t="s">
        <v>77</v>
      </c>
    </row>
    <row r="56" spans="3:13" x14ac:dyDescent="0.25">
      <c r="C56" s="9" t="s">
        <v>31</v>
      </c>
      <c r="D56" s="10" t="s">
        <v>18</v>
      </c>
      <c r="E56" s="10" t="s">
        <v>9</v>
      </c>
      <c r="F56" s="10" t="s">
        <v>39</v>
      </c>
      <c r="G56" s="10" t="s">
        <v>38</v>
      </c>
      <c r="H56" s="10" t="s">
        <v>10</v>
      </c>
      <c r="I56" s="10" t="s">
        <v>41</v>
      </c>
      <c r="J56" s="10" t="s">
        <v>40</v>
      </c>
      <c r="K56" s="10" t="s">
        <v>14</v>
      </c>
      <c r="L56" s="10" t="s">
        <v>86</v>
      </c>
      <c r="M56" s="10" t="s">
        <v>87</v>
      </c>
    </row>
    <row r="57" spans="3:13" x14ac:dyDescent="0.25">
      <c r="C57" s="10" t="s">
        <v>18</v>
      </c>
      <c r="D57" s="11" t="s">
        <v>77</v>
      </c>
      <c r="E57" s="11">
        <v>65</v>
      </c>
      <c r="F57" s="11">
        <v>194</v>
      </c>
      <c r="G57" s="11">
        <v>181</v>
      </c>
      <c r="H57" s="11">
        <v>278</v>
      </c>
      <c r="I57" s="11">
        <v>93</v>
      </c>
      <c r="J57" s="11">
        <v>47</v>
      </c>
      <c r="K57" s="11">
        <v>48</v>
      </c>
      <c r="L57" s="11">
        <v>241</v>
      </c>
      <c r="M57" s="11">
        <v>25</v>
      </c>
    </row>
    <row r="58" spans="3:13" x14ac:dyDescent="0.25">
      <c r="C58" s="10" t="s">
        <v>9</v>
      </c>
      <c r="D58" s="11">
        <v>65</v>
      </c>
      <c r="E58" s="11" t="s">
        <v>77</v>
      </c>
      <c r="F58" s="11">
        <v>179</v>
      </c>
      <c r="G58" s="11">
        <v>156</v>
      </c>
      <c r="H58" s="11">
        <v>257</v>
      </c>
      <c r="I58" s="11">
        <v>78</v>
      </c>
      <c r="J58" s="11">
        <v>40</v>
      </c>
      <c r="K58" s="11">
        <v>42</v>
      </c>
      <c r="L58" s="11">
        <v>212</v>
      </c>
      <c r="M58" s="11">
        <v>21</v>
      </c>
    </row>
    <row r="59" spans="3:13" x14ac:dyDescent="0.25">
      <c r="C59" s="10" t="s">
        <v>39</v>
      </c>
      <c r="D59" s="11">
        <v>194</v>
      </c>
      <c r="E59" s="11">
        <v>179</v>
      </c>
      <c r="F59" s="11" t="s">
        <v>77</v>
      </c>
      <c r="G59" s="11">
        <v>120</v>
      </c>
      <c r="H59" s="11">
        <v>118</v>
      </c>
      <c r="I59" s="11">
        <v>124</v>
      </c>
      <c r="J59" s="11">
        <v>210</v>
      </c>
      <c r="K59" s="11">
        <v>212</v>
      </c>
      <c r="L59" s="11">
        <v>196</v>
      </c>
      <c r="M59" s="11">
        <v>188</v>
      </c>
    </row>
    <row r="60" spans="3:13" x14ac:dyDescent="0.25">
      <c r="C60" s="10" t="s">
        <v>38</v>
      </c>
      <c r="D60" s="11">
        <v>181</v>
      </c>
      <c r="E60" s="11">
        <v>176</v>
      </c>
      <c r="F60" s="11">
        <v>120</v>
      </c>
      <c r="G60" s="11" t="s">
        <v>77</v>
      </c>
      <c r="H60" s="11">
        <v>115</v>
      </c>
      <c r="I60" s="11">
        <v>72</v>
      </c>
      <c r="J60" s="11">
        <v>188</v>
      </c>
      <c r="K60" s="11">
        <v>189</v>
      </c>
      <c r="L60" s="11">
        <v>256</v>
      </c>
      <c r="M60" s="11">
        <v>164</v>
      </c>
    </row>
    <row r="61" spans="3:13" x14ac:dyDescent="0.25">
      <c r="C61" s="10" t="s">
        <v>10</v>
      </c>
      <c r="D61" s="11">
        <v>278</v>
      </c>
      <c r="E61" s="11">
        <v>257</v>
      </c>
      <c r="F61" s="11">
        <v>118</v>
      </c>
      <c r="G61" s="11">
        <v>115</v>
      </c>
      <c r="H61" s="11" t="s">
        <v>77</v>
      </c>
      <c r="I61" s="11">
        <v>204</v>
      </c>
      <c r="J61" s="11">
        <v>288</v>
      </c>
      <c r="K61" s="11">
        <v>290</v>
      </c>
      <c r="L61" s="11">
        <v>246</v>
      </c>
      <c r="M61" s="11">
        <v>265</v>
      </c>
    </row>
    <row r="62" spans="3:13" x14ac:dyDescent="0.25">
      <c r="C62" s="10" t="s">
        <v>41</v>
      </c>
      <c r="D62" s="11">
        <v>93</v>
      </c>
      <c r="E62" s="11">
        <v>78</v>
      </c>
      <c r="F62" s="11">
        <v>124</v>
      </c>
      <c r="G62" s="11">
        <v>72</v>
      </c>
      <c r="H62" s="11">
        <v>204</v>
      </c>
      <c r="I62" s="11" t="s">
        <v>77</v>
      </c>
      <c r="J62" s="11">
        <v>110</v>
      </c>
      <c r="K62" s="11">
        <v>113</v>
      </c>
      <c r="L62" s="11">
        <v>273</v>
      </c>
      <c r="M62" s="11">
        <v>88</v>
      </c>
    </row>
    <row r="63" spans="3:13" x14ac:dyDescent="0.25">
      <c r="C63" s="10" t="s">
        <v>40</v>
      </c>
      <c r="D63" s="11">
        <v>47</v>
      </c>
      <c r="E63" s="11">
        <v>40</v>
      </c>
      <c r="F63" s="11">
        <v>210</v>
      </c>
      <c r="G63" s="11">
        <v>188</v>
      </c>
      <c r="H63" s="11">
        <v>288</v>
      </c>
      <c r="I63" s="11">
        <v>110</v>
      </c>
      <c r="J63" s="11" t="s">
        <v>77</v>
      </c>
      <c r="K63" s="11">
        <v>8</v>
      </c>
      <c r="L63" s="11">
        <v>236</v>
      </c>
      <c r="M63" s="11">
        <v>30</v>
      </c>
    </row>
    <row r="64" spans="3:13" x14ac:dyDescent="0.25">
      <c r="C64" s="10" t="s">
        <v>14</v>
      </c>
      <c r="D64" s="11">
        <v>48</v>
      </c>
      <c r="E64" s="11">
        <v>42</v>
      </c>
      <c r="F64" s="11">
        <v>212</v>
      </c>
      <c r="G64" s="11">
        <v>189</v>
      </c>
      <c r="H64" s="11">
        <v>290</v>
      </c>
      <c r="I64" s="11">
        <v>113</v>
      </c>
      <c r="J64" s="11">
        <v>236</v>
      </c>
      <c r="K64" s="11" t="s">
        <v>77</v>
      </c>
      <c r="L64" s="11">
        <v>239</v>
      </c>
      <c r="M64" s="11">
        <v>38</v>
      </c>
    </row>
    <row r="65" spans="3:13" x14ac:dyDescent="0.25">
      <c r="C65" s="10" t="s">
        <v>86</v>
      </c>
      <c r="D65" s="11">
        <v>241</v>
      </c>
      <c r="E65" s="11">
        <v>212</v>
      </c>
      <c r="F65" s="11">
        <v>196</v>
      </c>
      <c r="G65" s="11">
        <v>256</v>
      </c>
      <c r="H65" s="11">
        <v>296</v>
      </c>
      <c r="I65" s="11">
        <v>273</v>
      </c>
      <c r="J65" s="11">
        <v>236</v>
      </c>
      <c r="K65" s="11">
        <v>239</v>
      </c>
      <c r="L65" s="11" t="s">
        <v>77</v>
      </c>
      <c r="M65" s="11">
        <v>257</v>
      </c>
    </row>
    <row r="66" spans="3:13" x14ac:dyDescent="0.25">
      <c r="C66" s="10" t="s">
        <v>87</v>
      </c>
      <c r="D66" s="11">
        <v>25</v>
      </c>
      <c r="E66" s="11">
        <v>21</v>
      </c>
      <c r="F66" s="11">
        <v>188</v>
      </c>
      <c r="G66" s="11">
        <v>164</v>
      </c>
      <c r="H66" s="11">
        <v>265</v>
      </c>
      <c r="I66" s="11">
        <v>88</v>
      </c>
      <c r="J66" s="11">
        <v>30</v>
      </c>
      <c r="K66" s="11">
        <v>38</v>
      </c>
      <c r="L66" s="11">
        <v>257</v>
      </c>
      <c r="M66" s="11" t="s">
        <v>77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4"/>
  <sheetViews>
    <sheetView tabSelected="1" zoomScale="92" workbookViewId="0">
      <selection activeCell="A34" sqref="A34"/>
    </sheetView>
  </sheetViews>
  <sheetFormatPr baseColWidth="10" defaultColWidth="10.875" defaultRowHeight="18.75" x14ac:dyDescent="0.25"/>
  <cols>
    <col min="1" max="1" width="17" style="1" customWidth="1"/>
    <col min="2" max="2" width="11.5" style="1" customWidth="1"/>
    <col min="3" max="3" width="16.5" style="1" customWidth="1"/>
    <col min="4" max="5" width="10.875" style="1"/>
    <col min="6" max="6" width="14" style="1" customWidth="1"/>
    <col min="7" max="7" width="15.875" style="1" customWidth="1"/>
    <col min="8" max="8" width="12.625" style="1" customWidth="1"/>
    <col min="9" max="9" width="12.375" style="1" customWidth="1"/>
    <col min="10" max="11" width="10.875" style="1"/>
    <col min="12" max="12" width="12.125" style="1" customWidth="1"/>
    <col min="13" max="16" width="10.875" style="1"/>
    <col min="17" max="17" width="14" style="1" customWidth="1"/>
    <col min="18" max="26" width="10.875" style="1"/>
    <col min="27" max="27" width="12.5" style="1" customWidth="1"/>
    <col min="28" max="28" width="12.125" style="1" customWidth="1"/>
    <col min="29" max="16384" width="10.875" style="1"/>
  </cols>
  <sheetData>
    <row r="1" spans="1:12" s="7" customFormat="1" x14ac:dyDescent="0.25">
      <c r="A1" s="2" t="s">
        <v>26</v>
      </c>
      <c r="B1" s="7" t="s">
        <v>29</v>
      </c>
      <c r="C1" s="7" t="s">
        <v>27</v>
      </c>
      <c r="D1" s="7" t="s">
        <v>72</v>
      </c>
      <c r="E1" s="7" t="s">
        <v>66</v>
      </c>
      <c r="F1" s="7" t="s">
        <v>67</v>
      </c>
      <c r="G1" s="7" t="s">
        <v>68</v>
      </c>
      <c r="I1" s="7" t="s">
        <v>28</v>
      </c>
      <c r="J1" s="7" t="s">
        <v>66</v>
      </c>
      <c r="K1" s="7" t="s">
        <v>67</v>
      </c>
      <c r="L1" s="7" t="s">
        <v>68</v>
      </c>
    </row>
    <row r="2" spans="1:12" x14ac:dyDescent="0.25">
      <c r="A2" s="1" t="s">
        <v>0</v>
      </c>
      <c r="B2" s="5" t="s">
        <v>30</v>
      </c>
      <c r="C2" s="5">
        <f>(221+145+14+20)</f>
        <v>400</v>
      </c>
      <c r="D2" s="5">
        <f>C2/4</f>
        <v>100</v>
      </c>
      <c r="E2" s="5">
        <v>221</v>
      </c>
      <c r="F2" s="5">
        <v>14</v>
      </c>
      <c r="G2" s="5">
        <f>589/6</f>
        <v>98.166666666666671</v>
      </c>
      <c r="I2" s="1" t="s">
        <v>73</v>
      </c>
      <c r="J2" s="1">
        <v>626</v>
      </c>
      <c r="K2" s="1">
        <v>14</v>
      </c>
      <c r="L2" s="5">
        <f>1670/8</f>
        <v>208.75</v>
      </c>
    </row>
    <row r="3" spans="1:12" x14ac:dyDescent="0.25">
      <c r="A3" s="1" t="s">
        <v>1</v>
      </c>
      <c r="B3" s="5" t="s">
        <v>30</v>
      </c>
      <c r="C3" s="5">
        <f>(110+110+137+136)</f>
        <v>493</v>
      </c>
      <c r="D3" s="5">
        <f>C3/4</f>
        <v>123.25</v>
      </c>
      <c r="E3" s="5">
        <v>224</v>
      </c>
      <c r="F3" s="5">
        <v>125</v>
      </c>
      <c r="G3" s="5">
        <f>895/6</f>
        <v>149.16666666666666</v>
      </c>
      <c r="I3" s="1" t="s">
        <v>73</v>
      </c>
      <c r="J3" s="1">
        <v>469</v>
      </c>
      <c r="K3" s="1">
        <v>110</v>
      </c>
      <c r="L3" s="5">
        <f>1652/8</f>
        <v>206.5</v>
      </c>
    </row>
    <row r="4" spans="1:12" x14ac:dyDescent="0.25">
      <c r="A4" s="1" t="s">
        <v>2</v>
      </c>
      <c r="B4" s="5" t="s">
        <v>30</v>
      </c>
      <c r="C4" s="5">
        <f>(40+205+129+11)</f>
        <v>385</v>
      </c>
      <c r="D4" s="5">
        <f>C4/5</f>
        <v>77</v>
      </c>
      <c r="E4" s="5">
        <v>205</v>
      </c>
      <c r="F4" s="5">
        <v>11</v>
      </c>
      <c r="G4" s="5">
        <f>526/6</f>
        <v>87.666666666666671</v>
      </c>
      <c r="I4" s="1" t="s">
        <v>73</v>
      </c>
      <c r="J4" s="1">
        <v>614</v>
      </c>
      <c r="K4" s="1">
        <v>11</v>
      </c>
      <c r="L4" s="5">
        <f>1583/8</f>
        <v>197.875</v>
      </c>
    </row>
    <row r="5" spans="1:12" x14ac:dyDescent="0.25">
      <c r="A5" s="1" t="s">
        <v>3</v>
      </c>
      <c r="B5" s="5" t="s">
        <v>30</v>
      </c>
      <c r="C5" s="5">
        <f>(14+18+137+107)</f>
        <v>276</v>
      </c>
      <c r="D5" s="5">
        <f>C5/4</f>
        <v>69</v>
      </c>
      <c r="E5" s="5">
        <v>207</v>
      </c>
      <c r="F5" s="5">
        <v>11</v>
      </c>
      <c r="G5" s="5">
        <f>526/6</f>
        <v>87.666666666666671</v>
      </c>
      <c r="I5" s="1" t="s">
        <v>73</v>
      </c>
      <c r="J5" s="1">
        <v>600</v>
      </c>
      <c r="K5" s="1">
        <v>11</v>
      </c>
      <c r="L5" s="5">
        <f>1566/8</f>
        <v>195.75</v>
      </c>
    </row>
    <row r="6" spans="1:12" x14ac:dyDescent="0.25">
      <c r="A6" s="1" t="s">
        <v>4</v>
      </c>
      <c r="B6" s="5" t="s">
        <v>30</v>
      </c>
      <c r="C6" s="5">
        <f>(26+18+18+125+221)</f>
        <v>408</v>
      </c>
      <c r="D6" s="5">
        <f>C6/5</f>
        <v>81.599999999999994</v>
      </c>
      <c r="E6" s="5">
        <v>221</v>
      </c>
      <c r="F6" s="5">
        <v>18</v>
      </c>
      <c r="G6" s="5">
        <f>559/6</f>
        <v>93.166666666666671</v>
      </c>
      <c r="I6" s="1" t="s">
        <v>73</v>
      </c>
      <c r="J6" s="1">
        <v>606</v>
      </c>
      <c r="K6" s="1">
        <v>18</v>
      </c>
      <c r="L6" s="5">
        <f>1601/8</f>
        <v>200.125</v>
      </c>
    </row>
    <row r="7" spans="1:12" x14ac:dyDescent="0.25">
      <c r="A7" s="1" t="s">
        <v>5</v>
      </c>
      <c r="B7" s="5" t="s">
        <v>30</v>
      </c>
      <c r="C7" s="5">
        <f>(139+220+129)</f>
        <v>488</v>
      </c>
      <c r="D7" s="5">
        <f>C7/4</f>
        <v>122</v>
      </c>
      <c r="E7" s="5">
        <v>145</v>
      </c>
      <c r="F7" s="5">
        <v>110</v>
      </c>
      <c r="G7" s="5">
        <f>777/6</f>
        <v>129.5</v>
      </c>
      <c r="I7" s="1" t="s">
        <v>73</v>
      </c>
      <c r="J7" s="1">
        <v>574</v>
      </c>
      <c r="K7" s="1">
        <v>110</v>
      </c>
      <c r="L7" s="5">
        <f>1745/8</f>
        <v>218.125</v>
      </c>
    </row>
    <row r="8" spans="1:12" x14ac:dyDescent="0.25">
      <c r="A8" s="1" t="s">
        <v>6</v>
      </c>
      <c r="B8" s="5" t="s">
        <v>30</v>
      </c>
      <c r="C8" s="5">
        <f>(139+221+221+224)</f>
        <v>805</v>
      </c>
      <c r="D8" s="5">
        <f>C8/4</f>
        <v>201.25</v>
      </c>
      <c r="E8" s="5">
        <v>224</v>
      </c>
      <c r="F8" s="5">
        <v>110</v>
      </c>
      <c r="G8" s="5">
        <f>1188/6</f>
        <v>198</v>
      </c>
      <c r="I8" s="1" t="s">
        <v>73</v>
      </c>
      <c r="J8" s="1">
        <v>630</v>
      </c>
      <c r="K8" s="1">
        <v>110</v>
      </c>
      <c r="L8" s="5">
        <f>2325/8</f>
        <v>290.625</v>
      </c>
    </row>
    <row r="9" spans="1:12" x14ac:dyDescent="0.25">
      <c r="A9" s="1" t="s">
        <v>7</v>
      </c>
      <c r="B9" s="5" t="s">
        <v>31</v>
      </c>
      <c r="C9" s="5">
        <f>292+637+41+227</f>
        <v>1197</v>
      </c>
      <c r="D9" s="5">
        <f>C9/4</f>
        <v>299.25</v>
      </c>
      <c r="E9" s="5">
        <v>637</v>
      </c>
      <c r="F9" s="5">
        <v>18</v>
      </c>
      <c r="G9" s="5">
        <f>1487/7</f>
        <v>212.42857142857142</v>
      </c>
      <c r="I9" s="1" t="s">
        <v>31</v>
      </c>
      <c r="J9" s="1">
        <v>292</v>
      </c>
      <c r="K9" s="1">
        <v>18</v>
      </c>
      <c r="L9" s="5">
        <f>1334/10</f>
        <v>133.4</v>
      </c>
    </row>
    <row r="10" spans="1:12" x14ac:dyDescent="0.25">
      <c r="A10" s="1" t="s">
        <v>8</v>
      </c>
      <c r="B10" s="5" t="s">
        <v>31</v>
      </c>
      <c r="C10" s="5">
        <f>433+598+637+433</f>
        <v>2101</v>
      </c>
      <c r="D10" s="5">
        <f>C10/4</f>
        <v>525.25</v>
      </c>
      <c r="E10" s="5">
        <v>637</v>
      </c>
      <c r="F10" s="5">
        <v>374</v>
      </c>
      <c r="G10" s="5">
        <f>3709/7</f>
        <v>529.85714285714289</v>
      </c>
      <c r="I10" s="1" t="s">
        <v>73</v>
      </c>
      <c r="J10" s="1">
        <v>630</v>
      </c>
      <c r="K10" s="1">
        <v>217</v>
      </c>
      <c r="L10" s="5">
        <f>4336/8</f>
        <v>542</v>
      </c>
    </row>
    <row r="11" spans="1:12" x14ac:dyDescent="0.25">
      <c r="A11" s="1" t="s">
        <v>9</v>
      </c>
      <c r="B11" s="5" t="s">
        <v>31</v>
      </c>
      <c r="C11" s="5">
        <f>189+41+600+41</f>
        <v>871</v>
      </c>
      <c r="D11" s="5">
        <f>C11/4</f>
        <v>217.75</v>
      </c>
      <c r="E11" s="5">
        <v>600</v>
      </c>
      <c r="F11" s="5">
        <v>10</v>
      </c>
      <c r="G11" s="5">
        <f>1327/7</f>
        <v>189.57142857142858</v>
      </c>
      <c r="I11" s="1" t="s">
        <v>31</v>
      </c>
      <c r="J11" s="1">
        <v>257</v>
      </c>
      <c r="K11" s="1">
        <v>10</v>
      </c>
      <c r="L11" s="5">
        <f>1175/10</f>
        <v>117.5</v>
      </c>
    </row>
    <row r="12" spans="1:12" x14ac:dyDescent="0.25">
      <c r="A12" s="1" t="s">
        <v>10</v>
      </c>
      <c r="B12" s="5" t="s">
        <v>31</v>
      </c>
      <c r="C12" s="5">
        <f>257+374+84+290+84</f>
        <v>1089</v>
      </c>
      <c r="D12" s="5">
        <f>C12/5</f>
        <v>217.8</v>
      </c>
      <c r="E12" s="5">
        <v>374</v>
      </c>
      <c r="F12" s="5">
        <v>84</v>
      </c>
      <c r="G12" s="5">
        <f>1636/7</f>
        <v>233.71428571428572</v>
      </c>
      <c r="I12" s="1" t="s">
        <v>31</v>
      </c>
      <c r="J12" s="1">
        <v>342</v>
      </c>
      <c r="K12" s="1">
        <v>84</v>
      </c>
      <c r="L12" s="5">
        <f>2353/10</f>
        <v>235.3</v>
      </c>
    </row>
    <row r="13" spans="1:12" x14ac:dyDescent="0.25">
      <c r="A13" s="1" t="s">
        <v>11</v>
      </c>
      <c r="B13" s="5" t="s">
        <v>31</v>
      </c>
      <c r="C13" s="5">
        <f>225+10+45+45</f>
        <v>325</v>
      </c>
      <c r="D13" s="5">
        <f>C13/4</f>
        <v>81.25</v>
      </c>
      <c r="E13" s="5">
        <v>598</v>
      </c>
      <c r="F13" s="5">
        <v>10</v>
      </c>
      <c r="G13" s="5">
        <f>1330/7</f>
        <v>190</v>
      </c>
      <c r="I13" s="1" t="s">
        <v>31</v>
      </c>
      <c r="J13" s="1">
        <v>255</v>
      </c>
      <c r="K13" s="1">
        <v>10</v>
      </c>
      <c r="L13" s="5">
        <f>1146/10</f>
        <v>114.6</v>
      </c>
    </row>
    <row r="14" spans="1:12" x14ac:dyDescent="0.25">
      <c r="A14" s="1" t="s">
        <v>12</v>
      </c>
      <c r="B14" s="5" t="s">
        <v>31</v>
      </c>
      <c r="C14" s="5">
        <f>84+190+220+0+189</f>
        <v>683</v>
      </c>
      <c r="D14" s="5">
        <f>C14/5</f>
        <v>136.6</v>
      </c>
      <c r="E14" s="5">
        <v>433</v>
      </c>
      <c r="F14" s="5">
        <v>84</v>
      </c>
      <c r="G14" s="5">
        <f>1343/7</f>
        <v>191.85714285714286</v>
      </c>
      <c r="I14" s="1" t="s">
        <v>31</v>
      </c>
      <c r="J14" s="1">
        <v>272</v>
      </c>
      <c r="K14" s="1">
        <v>84</v>
      </c>
      <c r="L14" s="5">
        <f>1812/10</f>
        <v>181.2</v>
      </c>
    </row>
    <row r="15" spans="1:12" x14ac:dyDescent="0.25">
      <c r="A15" s="1" t="s">
        <v>13</v>
      </c>
      <c r="B15" s="5" t="s">
        <v>31</v>
      </c>
      <c r="C15" s="5">
        <f>190+227+189+220+0</f>
        <v>826</v>
      </c>
      <c r="D15" s="5">
        <f>C15/5</f>
        <v>165.2</v>
      </c>
      <c r="E15" s="5">
        <v>433</v>
      </c>
      <c r="F15" s="5">
        <v>84</v>
      </c>
      <c r="G15" s="5">
        <f>1343/7</f>
        <v>191.85714285714286</v>
      </c>
      <c r="I15" s="1" t="s">
        <v>31</v>
      </c>
      <c r="J15" s="1">
        <v>272</v>
      </c>
      <c r="K15" s="1">
        <v>84</v>
      </c>
      <c r="L15" s="5">
        <f>1812/10</f>
        <v>181.2</v>
      </c>
    </row>
    <row r="16" spans="1:12" x14ac:dyDescent="0.25">
      <c r="A16" s="1" t="s">
        <v>14</v>
      </c>
      <c r="B16" s="5" t="s">
        <v>31</v>
      </c>
      <c r="C16" s="5">
        <f>18+634+42+41</f>
        <v>735</v>
      </c>
      <c r="D16" s="5">
        <f>C16/4</f>
        <v>183.75</v>
      </c>
      <c r="E16" s="5">
        <v>634</v>
      </c>
      <c r="F16" s="5">
        <v>18</v>
      </c>
      <c r="G16" s="5">
        <f>1465/7</f>
        <v>209.28571428571428</v>
      </c>
      <c r="I16" s="1" t="s">
        <v>31</v>
      </c>
      <c r="J16" s="1">
        <v>290</v>
      </c>
      <c r="K16" s="1">
        <v>18</v>
      </c>
      <c r="L16" s="5">
        <f>1249/10</f>
        <v>124.9</v>
      </c>
    </row>
    <row r="17" spans="1:12" x14ac:dyDescent="0.25">
      <c r="A17" s="1" t="s">
        <v>15</v>
      </c>
      <c r="B17" s="5" t="s">
        <v>32</v>
      </c>
      <c r="C17" s="5">
        <f>13+151</f>
        <v>164</v>
      </c>
      <c r="D17" s="5">
        <f>C17/2</f>
        <v>82</v>
      </c>
      <c r="E17" s="5">
        <v>151</v>
      </c>
      <c r="F17" s="5">
        <v>13</v>
      </c>
      <c r="G17" s="5">
        <f>305/3</f>
        <v>101.66666666666667</v>
      </c>
      <c r="I17" s="1" t="s">
        <v>31</v>
      </c>
      <c r="J17" s="1">
        <v>211</v>
      </c>
      <c r="K17" s="1">
        <v>13</v>
      </c>
      <c r="L17" s="5">
        <f>1093/10</f>
        <v>109.3</v>
      </c>
    </row>
    <row r="18" spans="1:12" x14ac:dyDescent="0.25">
      <c r="A18" s="1" t="s">
        <v>16</v>
      </c>
      <c r="B18" s="5" t="s">
        <v>32</v>
      </c>
      <c r="C18" s="5">
        <f>91+129</f>
        <v>220</v>
      </c>
      <c r="D18" s="5">
        <f>C18/2</f>
        <v>110</v>
      </c>
      <c r="E18" s="5">
        <v>141</v>
      </c>
      <c r="F18" s="5">
        <v>91</v>
      </c>
      <c r="G18" s="5">
        <f>361/3</f>
        <v>120.33333333333333</v>
      </c>
      <c r="I18" s="1" t="s">
        <v>31</v>
      </c>
      <c r="J18" s="1">
        <v>266</v>
      </c>
      <c r="K18" s="1">
        <v>91</v>
      </c>
      <c r="L18" s="5">
        <f>1798/10</f>
        <v>179.8</v>
      </c>
    </row>
    <row r="19" spans="1:12" x14ac:dyDescent="0.25">
      <c r="A19" s="1" t="s">
        <v>17</v>
      </c>
      <c r="B19" s="5" t="s">
        <v>32</v>
      </c>
      <c r="C19" s="5">
        <f>151+91</f>
        <v>242</v>
      </c>
      <c r="D19" s="5">
        <f>C19/2</f>
        <v>121</v>
      </c>
      <c r="E19" s="5">
        <v>151</v>
      </c>
      <c r="F19" s="5">
        <v>91</v>
      </c>
      <c r="G19" s="5">
        <f>352/3</f>
        <v>117.33333333333333</v>
      </c>
      <c r="I19" s="1" t="s">
        <v>31</v>
      </c>
      <c r="J19" s="1">
        <v>342</v>
      </c>
      <c r="K19" s="1">
        <v>91</v>
      </c>
      <c r="L19" s="5">
        <f>1892/10</f>
        <v>189.2</v>
      </c>
    </row>
    <row r="20" spans="1:12" x14ac:dyDescent="0.25">
      <c r="A20" s="1" t="s">
        <v>18</v>
      </c>
      <c r="B20" s="5" t="s">
        <v>32</v>
      </c>
      <c r="C20" s="5">
        <f>129+13</f>
        <v>142</v>
      </c>
      <c r="D20" s="5">
        <f>C20/2</f>
        <v>71</v>
      </c>
      <c r="E20" s="5">
        <v>129</v>
      </c>
      <c r="F20" s="5">
        <v>13</v>
      </c>
      <c r="G20" s="5">
        <f>252/3</f>
        <v>84</v>
      </c>
      <c r="I20" s="1" t="s">
        <v>31</v>
      </c>
      <c r="J20" s="1">
        <v>272</v>
      </c>
      <c r="K20" s="1">
        <v>13</v>
      </c>
      <c r="L20" s="5">
        <f>1146/10</f>
        <v>114.6</v>
      </c>
    </row>
    <row r="21" spans="1:12" x14ac:dyDescent="0.25">
      <c r="A21" s="1" t="s">
        <v>19</v>
      </c>
      <c r="B21" s="5" t="s">
        <v>33</v>
      </c>
      <c r="C21" s="5">
        <f>(112+351+120+75+182+34)</f>
        <v>874</v>
      </c>
      <c r="D21" s="5">
        <f>C21/6</f>
        <v>145.66666666666666</v>
      </c>
      <c r="E21" s="5">
        <v>351</v>
      </c>
      <c r="F21" s="5">
        <v>32</v>
      </c>
      <c r="G21" s="5">
        <f>938/8</f>
        <v>117.25</v>
      </c>
      <c r="I21" s="1" t="s">
        <v>30</v>
      </c>
      <c r="J21" s="1">
        <v>182</v>
      </c>
      <c r="K21" s="1">
        <v>32</v>
      </c>
      <c r="L21" s="5">
        <f>587/7</f>
        <v>83.857142857142861</v>
      </c>
    </row>
    <row r="22" spans="1:12" x14ac:dyDescent="0.25">
      <c r="A22" s="1" t="s">
        <v>20</v>
      </c>
      <c r="B22" s="5" t="s">
        <v>33</v>
      </c>
      <c r="C22" s="5">
        <f>(159+158+158+99+313)</f>
        <v>887</v>
      </c>
      <c r="D22" s="5">
        <f>C22/5</f>
        <v>177.4</v>
      </c>
      <c r="E22" s="5">
        <v>313</v>
      </c>
      <c r="F22" s="5">
        <v>99</v>
      </c>
      <c r="G22" s="5">
        <f>1321/8</f>
        <v>165.125</v>
      </c>
      <c r="I22" s="1" t="s">
        <v>30</v>
      </c>
      <c r="J22" s="1">
        <v>180</v>
      </c>
      <c r="K22" s="1">
        <v>99</v>
      </c>
      <c r="L22" s="5">
        <f>1008/7</f>
        <v>144</v>
      </c>
    </row>
    <row r="23" spans="1:12" x14ac:dyDescent="0.25">
      <c r="A23" s="1" t="s">
        <v>69</v>
      </c>
      <c r="B23" s="5" t="s">
        <v>33</v>
      </c>
      <c r="C23" s="5">
        <f>(348+158+32+92+125)</f>
        <v>755</v>
      </c>
      <c r="D23" s="5">
        <f>C23/6</f>
        <v>125.83333333333333</v>
      </c>
      <c r="E23" s="5">
        <v>348</v>
      </c>
      <c r="F23" s="5">
        <v>0</v>
      </c>
      <c r="G23" s="5">
        <f>832/8</f>
        <v>104</v>
      </c>
      <c r="I23" s="1" t="s">
        <v>30</v>
      </c>
      <c r="J23" s="1">
        <v>158</v>
      </c>
      <c r="K23" s="1">
        <v>5</v>
      </c>
      <c r="L23" s="5">
        <f>1008/7</f>
        <v>144</v>
      </c>
    </row>
    <row r="24" spans="1:12" x14ac:dyDescent="0.25">
      <c r="A24" s="1" t="s">
        <v>70</v>
      </c>
      <c r="B24" s="5" t="s">
        <v>33</v>
      </c>
      <c r="C24" s="5">
        <f>(72+348+32+92+125)</f>
        <v>669</v>
      </c>
      <c r="D24" s="5">
        <f>C24/6</f>
        <v>111.5</v>
      </c>
      <c r="E24" s="5">
        <v>348</v>
      </c>
      <c r="F24" s="5">
        <v>0</v>
      </c>
      <c r="G24" s="5">
        <f>832/8</f>
        <v>104</v>
      </c>
      <c r="I24" s="1" t="s">
        <v>30</v>
      </c>
      <c r="J24" s="1">
        <v>158</v>
      </c>
      <c r="K24" s="1">
        <v>5</v>
      </c>
      <c r="L24" s="5">
        <f>491/7</f>
        <v>70.142857142857139</v>
      </c>
    </row>
    <row r="25" spans="1:12" x14ac:dyDescent="0.25">
      <c r="A25" s="1" t="s">
        <v>21</v>
      </c>
      <c r="B25" s="5" t="s">
        <v>33</v>
      </c>
      <c r="C25" s="5">
        <f>(142+80+174+182+120)</f>
        <v>698</v>
      </c>
      <c r="D25" s="5">
        <f>C25/5</f>
        <v>139.6</v>
      </c>
      <c r="E25" s="5">
        <v>412</v>
      </c>
      <c r="F25" s="5">
        <v>80</v>
      </c>
      <c r="G25" s="5">
        <f>1360/8</f>
        <v>170</v>
      </c>
      <c r="I25" s="1" t="s">
        <v>30</v>
      </c>
      <c r="J25" s="1">
        <v>182</v>
      </c>
      <c r="K25" s="1">
        <v>80</v>
      </c>
      <c r="L25" s="5">
        <f>491/7</f>
        <v>70.142857142857139</v>
      </c>
    </row>
    <row r="26" spans="1:12" x14ac:dyDescent="0.25">
      <c r="A26" s="1" t="s">
        <v>22</v>
      </c>
      <c r="B26" s="5" t="s">
        <v>33</v>
      </c>
      <c r="C26" s="5">
        <f>(80+72+90+141+69)</f>
        <v>452</v>
      </c>
      <c r="D26" s="5">
        <f>C26/5</f>
        <v>90.4</v>
      </c>
      <c r="E26" s="5">
        <v>352</v>
      </c>
      <c r="F26" s="5">
        <v>69</v>
      </c>
      <c r="G26" s="5">
        <f>1086/8</f>
        <v>135.75</v>
      </c>
      <c r="I26" s="1" t="s">
        <v>30</v>
      </c>
      <c r="J26" s="1">
        <v>180</v>
      </c>
      <c r="K26" s="1">
        <v>69</v>
      </c>
      <c r="L26" s="5">
        <f>734/7</f>
        <v>104.85714285714286</v>
      </c>
    </row>
    <row r="27" spans="1:12" x14ac:dyDescent="0.25">
      <c r="A27" s="1" t="s">
        <v>23</v>
      </c>
      <c r="B27" s="5" t="s">
        <v>33</v>
      </c>
      <c r="C27" s="5">
        <f>(69+5+159+5+349)</f>
        <v>587</v>
      </c>
      <c r="D27" s="5">
        <f>C27/5</f>
        <v>117.4</v>
      </c>
      <c r="E27" s="5">
        <v>349</v>
      </c>
      <c r="F27" s="5">
        <v>5</v>
      </c>
      <c r="G27" s="5">
        <f>853/8</f>
        <v>106.625</v>
      </c>
      <c r="I27" s="1" t="s">
        <v>30</v>
      </c>
      <c r="J27" s="1">
        <v>159</v>
      </c>
      <c r="K27" s="1">
        <v>5</v>
      </c>
      <c r="L27" s="5">
        <f>504/7</f>
        <v>72</v>
      </c>
    </row>
    <row r="28" spans="1:12" x14ac:dyDescent="0.25">
      <c r="A28" s="1" t="s">
        <v>24</v>
      </c>
      <c r="B28" s="5" t="s">
        <v>33</v>
      </c>
      <c r="C28" s="5">
        <f>(349+351+348+352+412)</f>
        <v>1812</v>
      </c>
      <c r="D28" s="5">
        <f>C28/5</f>
        <v>362.4</v>
      </c>
      <c r="E28" s="5">
        <v>412</v>
      </c>
      <c r="F28" s="5">
        <v>278</v>
      </c>
      <c r="G28" s="5">
        <f>2751/8</f>
        <v>343.875</v>
      </c>
      <c r="I28" s="1" t="s">
        <v>73</v>
      </c>
      <c r="J28" s="1">
        <v>507</v>
      </c>
      <c r="K28" s="1">
        <v>217</v>
      </c>
      <c r="L28" s="5">
        <f>3178/8</f>
        <v>397.25</v>
      </c>
    </row>
    <row r="29" spans="1:12" x14ac:dyDescent="0.25">
      <c r="A29" s="1" t="s">
        <v>25</v>
      </c>
      <c r="B29" s="5" t="s">
        <v>33</v>
      </c>
      <c r="C29" s="5">
        <f>(99+141+174+278+112)</f>
        <v>804</v>
      </c>
      <c r="D29" s="5">
        <f>C29/5</f>
        <v>160.80000000000001</v>
      </c>
      <c r="E29" s="5">
        <v>278</v>
      </c>
      <c r="F29" s="5">
        <v>92</v>
      </c>
      <c r="G29" s="5">
        <f>1063/8</f>
        <v>132.875</v>
      </c>
      <c r="I29" s="1" t="s">
        <v>30</v>
      </c>
      <c r="J29" s="1">
        <v>174</v>
      </c>
      <c r="K29" s="1">
        <v>75</v>
      </c>
      <c r="L29" s="5">
        <f>785/7</f>
        <v>112.14285714285714</v>
      </c>
    </row>
    <row r="31" spans="1:12" x14ac:dyDescent="0.25">
      <c r="A31" s="3" t="s">
        <v>61</v>
      </c>
      <c r="B31" s="3" t="s">
        <v>65</v>
      </c>
      <c r="C31" s="6">
        <f>SUM(C2:C29)</f>
        <v>19388</v>
      </c>
      <c r="D31" s="6">
        <f t="shared" ref="D31:L31" si="0">SUM(D2:D29)</f>
        <v>4415.95</v>
      </c>
      <c r="E31" s="6">
        <f t="shared" si="0"/>
        <v>9528</v>
      </c>
      <c r="F31" s="6">
        <f t="shared" si="0"/>
        <v>1944</v>
      </c>
      <c r="G31" s="6">
        <f t="shared" si="0"/>
        <v>4594.7380952380954</v>
      </c>
      <c r="H31" s="6"/>
      <c r="I31" s="6" t="s">
        <v>74</v>
      </c>
      <c r="J31" s="6">
        <f t="shared" si="0"/>
        <v>9700</v>
      </c>
      <c r="K31" s="6">
        <f t="shared" si="0"/>
        <v>1704</v>
      </c>
      <c r="L31" s="6">
        <f t="shared" si="0"/>
        <v>4939.1428571428569</v>
      </c>
    </row>
    <row r="34" spans="1:13" x14ac:dyDescent="0.25">
      <c r="A34" s="7" t="s">
        <v>82</v>
      </c>
      <c r="C34" s="9" t="s">
        <v>30</v>
      </c>
      <c r="D34" s="10" t="s">
        <v>19</v>
      </c>
      <c r="E34" s="10" t="s">
        <v>20</v>
      </c>
      <c r="F34" s="10" t="s">
        <v>71</v>
      </c>
      <c r="G34" s="10" t="s">
        <v>21</v>
      </c>
      <c r="H34" s="10" t="s">
        <v>22</v>
      </c>
      <c r="I34" s="10" t="s">
        <v>23</v>
      </c>
      <c r="J34" s="10" t="s">
        <v>25</v>
      </c>
      <c r="K34" s="11"/>
      <c r="L34" s="11"/>
      <c r="M34" s="11"/>
    </row>
    <row r="35" spans="1:13" x14ac:dyDescent="0.25">
      <c r="C35" s="10" t="s">
        <v>19</v>
      </c>
      <c r="D35" s="11" t="s">
        <v>77</v>
      </c>
      <c r="E35" s="11">
        <v>112</v>
      </c>
      <c r="F35" s="11">
        <v>32</v>
      </c>
      <c r="G35" s="11">
        <v>182</v>
      </c>
      <c r="H35" s="11">
        <v>120</v>
      </c>
      <c r="I35" s="11">
        <v>34</v>
      </c>
      <c r="J35" s="11">
        <v>75</v>
      </c>
      <c r="K35" s="11"/>
      <c r="L35" s="11"/>
      <c r="M35" s="11"/>
    </row>
    <row r="36" spans="1:13" x14ac:dyDescent="0.25">
      <c r="C36" s="10" t="s">
        <v>20</v>
      </c>
      <c r="D36" s="11">
        <v>112</v>
      </c>
      <c r="E36" s="11" t="s">
        <v>77</v>
      </c>
      <c r="F36" s="11">
        <v>158</v>
      </c>
      <c r="G36" s="11">
        <v>142</v>
      </c>
      <c r="H36" s="11">
        <v>180</v>
      </c>
      <c r="I36" s="11">
        <v>159</v>
      </c>
      <c r="J36" s="11">
        <v>99</v>
      </c>
      <c r="K36" s="11"/>
      <c r="L36" s="11"/>
      <c r="M36" s="11"/>
    </row>
    <row r="37" spans="1:13" x14ac:dyDescent="0.25">
      <c r="C37" s="10" t="s">
        <v>71</v>
      </c>
      <c r="D37" s="11">
        <v>32</v>
      </c>
      <c r="E37" s="11">
        <v>158</v>
      </c>
      <c r="F37" s="11" t="s">
        <v>77</v>
      </c>
      <c r="G37" s="11">
        <v>125</v>
      </c>
      <c r="H37" s="11">
        <v>72</v>
      </c>
      <c r="I37" s="11">
        <v>5</v>
      </c>
      <c r="J37" s="11">
        <v>92</v>
      </c>
      <c r="K37" s="11"/>
      <c r="L37" s="11"/>
      <c r="M37" s="11"/>
    </row>
    <row r="38" spans="1:13" x14ac:dyDescent="0.25">
      <c r="C38" s="10" t="s">
        <v>21</v>
      </c>
      <c r="D38" s="11">
        <v>182</v>
      </c>
      <c r="E38" s="11">
        <v>142</v>
      </c>
      <c r="F38" s="11">
        <v>125</v>
      </c>
      <c r="G38" s="11" t="s">
        <v>77</v>
      </c>
      <c r="H38" s="11">
        <v>80</v>
      </c>
      <c r="I38" s="11">
        <v>120</v>
      </c>
      <c r="J38" s="11">
        <v>174</v>
      </c>
      <c r="K38" s="11"/>
      <c r="L38" s="11"/>
      <c r="M38" s="11"/>
    </row>
    <row r="39" spans="1:13" x14ac:dyDescent="0.25">
      <c r="C39" s="10" t="s">
        <v>22</v>
      </c>
      <c r="D39" s="11">
        <v>120</v>
      </c>
      <c r="E39" s="11">
        <v>180</v>
      </c>
      <c r="F39" s="11">
        <v>72</v>
      </c>
      <c r="G39" s="11">
        <v>80</v>
      </c>
      <c r="H39" s="11" t="s">
        <v>77</v>
      </c>
      <c r="I39" s="11">
        <v>69</v>
      </c>
      <c r="J39" s="11">
        <v>141</v>
      </c>
      <c r="K39" s="11"/>
      <c r="L39" s="11"/>
      <c r="M39" s="11"/>
    </row>
    <row r="40" spans="1:13" x14ac:dyDescent="0.25">
      <c r="C40" s="10" t="s">
        <v>23</v>
      </c>
      <c r="D40" s="11">
        <v>34</v>
      </c>
      <c r="E40" s="11">
        <v>159</v>
      </c>
      <c r="F40" s="11">
        <v>5</v>
      </c>
      <c r="G40" s="11">
        <v>120</v>
      </c>
      <c r="H40" s="11">
        <v>69</v>
      </c>
      <c r="I40" s="11" t="s">
        <v>77</v>
      </c>
      <c r="J40" s="11">
        <v>112</v>
      </c>
      <c r="K40" s="11"/>
      <c r="L40" s="11"/>
      <c r="M40" s="11"/>
    </row>
    <row r="41" spans="1:13" x14ac:dyDescent="0.25">
      <c r="C41" s="10" t="s">
        <v>25</v>
      </c>
      <c r="D41" s="11">
        <v>75</v>
      </c>
      <c r="E41" s="11">
        <v>99</v>
      </c>
      <c r="F41" s="11">
        <v>92</v>
      </c>
      <c r="G41" s="11">
        <v>174</v>
      </c>
      <c r="H41" s="11">
        <v>141</v>
      </c>
      <c r="I41" s="11">
        <v>112</v>
      </c>
      <c r="J41" s="11" t="s">
        <v>77</v>
      </c>
      <c r="K41" s="11"/>
      <c r="L41" s="11"/>
      <c r="M41" s="11"/>
    </row>
    <row r="42" spans="1:13" x14ac:dyDescent="0.25"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C43" s="9" t="s">
        <v>73</v>
      </c>
      <c r="D43" s="10" t="s">
        <v>0</v>
      </c>
      <c r="E43" s="10" t="s">
        <v>1</v>
      </c>
      <c r="F43" s="10" t="s">
        <v>2</v>
      </c>
      <c r="G43" s="10" t="s">
        <v>3</v>
      </c>
      <c r="H43" s="10" t="s">
        <v>4</v>
      </c>
      <c r="I43" s="10" t="s">
        <v>5</v>
      </c>
      <c r="J43" s="10" t="s">
        <v>80</v>
      </c>
      <c r="K43" s="10" t="s">
        <v>8</v>
      </c>
      <c r="L43" s="10" t="s">
        <v>24</v>
      </c>
      <c r="M43" s="11"/>
    </row>
    <row r="44" spans="1:13" x14ac:dyDescent="0.25">
      <c r="C44" s="10" t="s">
        <v>0</v>
      </c>
      <c r="D44" s="11" t="s">
        <v>77</v>
      </c>
      <c r="E44" s="11">
        <v>163</v>
      </c>
      <c r="F44" s="11">
        <v>20</v>
      </c>
      <c r="G44" s="11">
        <v>14</v>
      </c>
      <c r="H44" s="11">
        <v>26</v>
      </c>
      <c r="I44" s="11">
        <v>145</v>
      </c>
      <c r="J44" s="11">
        <v>221</v>
      </c>
      <c r="K44" s="11">
        <v>626</v>
      </c>
      <c r="L44" s="11">
        <v>455</v>
      </c>
      <c r="M44" s="11"/>
    </row>
    <row r="45" spans="1:13" x14ac:dyDescent="0.25">
      <c r="C45" s="10" t="s">
        <v>1</v>
      </c>
      <c r="D45" s="11">
        <v>163</v>
      </c>
      <c r="E45" s="11" t="s">
        <v>77</v>
      </c>
      <c r="F45" s="11">
        <v>136</v>
      </c>
      <c r="G45" s="11">
        <v>137</v>
      </c>
      <c r="H45" s="11">
        <v>125</v>
      </c>
      <c r="I45" s="11">
        <v>110</v>
      </c>
      <c r="J45" s="11">
        <v>224</v>
      </c>
      <c r="K45" s="11">
        <v>469</v>
      </c>
      <c r="L45" s="11">
        <v>288</v>
      </c>
      <c r="M45" s="11"/>
    </row>
    <row r="46" spans="1:13" x14ac:dyDescent="0.25">
      <c r="C46" s="10" t="s">
        <v>2</v>
      </c>
      <c r="D46" s="11">
        <v>20</v>
      </c>
      <c r="E46" s="11">
        <v>136</v>
      </c>
      <c r="F46" s="11" t="s">
        <v>77</v>
      </c>
      <c r="G46" s="11">
        <v>11</v>
      </c>
      <c r="H46" s="11">
        <v>25</v>
      </c>
      <c r="I46" s="11">
        <v>129</v>
      </c>
      <c r="J46" s="11">
        <v>205</v>
      </c>
      <c r="K46" s="11">
        <v>614</v>
      </c>
      <c r="L46" s="11">
        <v>443</v>
      </c>
      <c r="M46" s="11"/>
    </row>
    <row r="47" spans="1:13" x14ac:dyDescent="0.25">
      <c r="C47" s="10" t="s">
        <v>3</v>
      </c>
      <c r="D47" s="11">
        <v>14</v>
      </c>
      <c r="E47" s="11">
        <v>137</v>
      </c>
      <c r="F47" s="11">
        <v>11</v>
      </c>
      <c r="G47" s="11" t="s">
        <v>77</v>
      </c>
      <c r="H47" s="11">
        <v>18</v>
      </c>
      <c r="I47" s="11">
        <v>139</v>
      </c>
      <c r="J47" s="11">
        <v>207</v>
      </c>
      <c r="K47" s="11">
        <v>600</v>
      </c>
      <c r="L47" s="11">
        <v>440</v>
      </c>
      <c r="M47" s="11"/>
    </row>
    <row r="48" spans="1:13" x14ac:dyDescent="0.25">
      <c r="C48" s="10" t="s">
        <v>4</v>
      </c>
      <c r="D48" s="11">
        <v>26</v>
      </c>
      <c r="E48" s="11">
        <v>125</v>
      </c>
      <c r="F48" s="11">
        <v>25</v>
      </c>
      <c r="G48" s="11">
        <v>18</v>
      </c>
      <c r="H48" s="11" t="s">
        <v>77</v>
      </c>
      <c r="I48" s="11">
        <v>145</v>
      </c>
      <c r="J48" s="11">
        <v>221</v>
      </c>
      <c r="K48" s="11">
        <v>606</v>
      </c>
      <c r="L48" s="11">
        <v>435</v>
      </c>
      <c r="M48" s="11"/>
    </row>
    <row r="49" spans="3:13" x14ac:dyDescent="0.25">
      <c r="C49" s="10" t="s">
        <v>5</v>
      </c>
      <c r="D49" s="11">
        <v>145</v>
      </c>
      <c r="E49" s="11">
        <v>110</v>
      </c>
      <c r="F49" s="11">
        <v>129</v>
      </c>
      <c r="G49" s="11">
        <v>139</v>
      </c>
      <c r="H49" s="11">
        <v>145</v>
      </c>
      <c r="I49" s="11" t="s">
        <v>77</v>
      </c>
      <c r="J49" s="11">
        <v>110</v>
      </c>
      <c r="K49" s="11">
        <v>574</v>
      </c>
      <c r="L49" s="11">
        <v>393</v>
      </c>
      <c r="M49" s="11"/>
    </row>
    <row r="50" spans="3:13" x14ac:dyDescent="0.25">
      <c r="C50" s="10" t="s">
        <v>80</v>
      </c>
      <c r="D50" s="11">
        <v>221</v>
      </c>
      <c r="E50" s="11">
        <v>224</v>
      </c>
      <c r="F50" s="11">
        <v>205</v>
      </c>
      <c r="G50" s="11">
        <v>207</v>
      </c>
      <c r="H50" s="11">
        <v>221</v>
      </c>
      <c r="I50" s="11">
        <v>110</v>
      </c>
      <c r="J50" s="11" t="s">
        <v>77</v>
      </c>
      <c r="K50" s="11">
        <v>630</v>
      </c>
      <c r="L50" s="11">
        <v>507</v>
      </c>
      <c r="M50" s="11"/>
    </row>
    <row r="51" spans="3:13" x14ac:dyDescent="0.25">
      <c r="C51" s="10" t="s">
        <v>8</v>
      </c>
      <c r="D51" s="11">
        <v>626</v>
      </c>
      <c r="E51" s="11">
        <v>469</v>
      </c>
      <c r="F51" s="11">
        <v>614</v>
      </c>
      <c r="G51" s="11">
        <v>600</v>
      </c>
      <c r="H51" s="11">
        <v>606</v>
      </c>
      <c r="I51" s="11">
        <v>574</v>
      </c>
      <c r="J51" s="11">
        <v>630</v>
      </c>
      <c r="K51" s="11" t="s">
        <v>77</v>
      </c>
      <c r="L51" s="11">
        <v>217</v>
      </c>
      <c r="M51" s="11"/>
    </row>
    <row r="52" spans="3:13" x14ac:dyDescent="0.25">
      <c r="C52" s="10" t="s">
        <v>24</v>
      </c>
      <c r="D52" s="11">
        <v>455</v>
      </c>
      <c r="E52" s="11">
        <v>288</v>
      </c>
      <c r="F52" s="11">
        <v>443</v>
      </c>
      <c r="G52" s="11">
        <v>440</v>
      </c>
      <c r="H52" s="11">
        <v>435</v>
      </c>
      <c r="I52" s="11">
        <v>393</v>
      </c>
      <c r="J52" s="11">
        <v>507</v>
      </c>
      <c r="K52" s="11">
        <v>217</v>
      </c>
      <c r="L52" s="11" t="s">
        <v>77</v>
      </c>
      <c r="M52" s="11"/>
    </row>
    <row r="53" spans="3:13" x14ac:dyDescent="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x14ac:dyDescent="0.25">
      <c r="C54" s="9" t="s">
        <v>31</v>
      </c>
      <c r="D54" s="10" t="s">
        <v>7</v>
      </c>
      <c r="E54" s="10" t="s">
        <v>9</v>
      </c>
      <c r="F54" s="10" t="s">
        <v>10</v>
      </c>
      <c r="G54" s="10" t="s">
        <v>11</v>
      </c>
      <c r="H54" s="10" t="s">
        <v>84</v>
      </c>
      <c r="I54" s="10" t="s">
        <v>14</v>
      </c>
      <c r="J54" s="10" t="s">
        <v>15</v>
      </c>
      <c r="K54" s="10" t="s">
        <v>16</v>
      </c>
      <c r="L54" s="10" t="s">
        <v>17</v>
      </c>
      <c r="M54" s="10" t="s">
        <v>18</v>
      </c>
    </row>
    <row r="55" spans="3:13" x14ac:dyDescent="0.25">
      <c r="C55" s="10" t="s">
        <v>7</v>
      </c>
      <c r="D55" s="11" t="s">
        <v>77</v>
      </c>
      <c r="E55" s="11">
        <v>41</v>
      </c>
      <c r="F55" s="11">
        <v>292</v>
      </c>
      <c r="G55" s="11">
        <v>45</v>
      </c>
      <c r="H55" s="11">
        <v>227</v>
      </c>
      <c r="I55" s="11">
        <v>18</v>
      </c>
      <c r="J55" s="11">
        <v>56</v>
      </c>
      <c r="K55" s="11">
        <v>200</v>
      </c>
      <c r="L55" s="11">
        <v>162</v>
      </c>
      <c r="M55" s="11">
        <v>66</v>
      </c>
    </row>
    <row r="56" spans="3:13" x14ac:dyDescent="0.25">
      <c r="C56" s="10" t="s">
        <v>9</v>
      </c>
      <c r="D56" s="11">
        <v>41</v>
      </c>
      <c r="E56" s="11" t="s">
        <v>77</v>
      </c>
      <c r="F56" s="11">
        <v>257</v>
      </c>
      <c r="G56" s="11">
        <v>10</v>
      </c>
      <c r="H56" s="11">
        <v>189</v>
      </c>
      <c r="I56" s="11">
        <v>41</v>
      </c>
      <c r="J56" s="11">
        <v>35</v>
      </c>
      <c r="K56" s="11">
        <v>184</v>
      </c>
      <c r="L56" s="11">
        <v>164</v>
      </c>
      <c r="M56" s="11">
        <v>65</v>
      </c>
    </row>
    <row r="57" spans="3:13" x14ac:dyDescent="0.25">
      <c r="C57" s="10" t="s">
        <v>10</v>
      </c>
      <c r="D57" s="11">
        <v>292</v>
      </c>
      <c r="E57" s="11">
        <v>257</v>
      </c>
      <c r="F57" s="11" t="s">
        <v>77</v>
      </c>
      <c r="G57" s="11">
        <v>255</v>
      </c>
      <c r="H57" s="11">
        <v>84</v>
      </c>
      <c r="I57" s="11">
        <v>290</v>
      </c>
      <c r="J57" s="11">
        <v>281</v>
      </c>
      <c r="K57" s="11">
        <v>266</v>
      </c>
      <c r="L57" s="11">
        <v>342</v>
      </c>
      <c r="M57" s="11">
        <v>272</v>
      </c>
    </row>
    <row r="58" spans="3:13" x14ac:dyDescent="0.25">
      <c r="C58" s="10" t="s">
        <v>11</v>
      </c>
      <c r="D58" s="11">
        <v>45</v>
      </c>
      <c r="E58" s="11">
        <v>10</v>
      </c>
      <c r="F58" s="11">
        <v>255</v>
      </c>
      <c r="G58" s="11" t="s">
        <v>77</v>
      </c>
      <c r="H58" s="11">
        <v>190</v>
      </c>
      <c r="I58" s="11">
        <v>42</v>
      </c>
      <c r="J58" s="11">
        <v>27</v>
      </c>
      <c r="K58" s="11">
        <v>182</v>
      </c>
      <c r="L58" s="11">
        <v>168</v>
      </c>
      <c r="M58" s="11">
        <v>37</v>
      </c>
    </row>
    <row r="59" spans="3:13" x14ac:dyDescent="0.25">
      <c r="C59" s="10" t="s">
        <v>84</v>
      </c>
      <c r="D59" s="11">
        <v>227</v>
      </c>
      <c r="E59" s="11">
        <v>189</v>
      </c>
      <c r="F59" s="11">
        <v>84</v>
      </c>
      <c r="G59" s="11">
        <v>190</v>
      </c>
      <c r="H59" s="11" t="s">
        <v>77</v>
      </c>
      <c r="I59" s="11">
        <v>220</v>
      </c>
      <c r="J59" s="11">
        <v>211</v>
      </c>
      <c r="K59" s="11">
        <v>216</v>
      </c>
      <c r="L59" s="11">
        <v>272</v>
      </c>
      <c r="M59" s="11">
        <v>203</v>
      </c>
    </row>
    <row r="60" spans="3:13" x14ac:dyDescent="0.25">
      <c r="C60" s="10" t="s">
        <v>14</v>
      </c>
      <c r="D60" s="11">
        <v>18</v>
      </c>
      <c r="E60" s="11">
        <v>41</v>
      </c>
      <c r="F60" s="11">
        <v>290</v>
      </c>
      <c r="G60" s="11">
        <v>42</v>
      </c>
      <c r="H60" s="11">
        <v>220</v>
      </c>
      <c r="I60" s="11" t="s">
        <v>77</v>
      </c>
      <c r="J60" s="11">
        <v>37</v>
      </c>
      <c r="K60" s="11">
        <v>173</v>
      </c>
      <c r="L60" s="11">
        <v>160</v>
      </c>
      <c r="M60" s="11">
        <v>48</v>
      </c>
    </row>
    <row r="61" spans="3:13" x14ac:dyDescent="0.25">
      <c r="C61" s="10" t="s">
        <v>15</v>
      </c>
      <c r="D61" s="11">
        <v>56</v>
      </c>
      <c r="E61" s="11">
        <v>35</v>
      </c>
      <c r="F61" s="11">
        <v>281</v>
      </c>
      <c r="G61" s="11">
        <v>27</v>
      </c>
      <c r="H61" s="11">
        <v>211</v>
      </c>
      <c r="I61" s="11">
        <v>37</v>
      </c>
      <c r="J61" s="11" t="s">
        <v>77</v>
      </c>
      <c r="K61" s="11">
        <v>141</v>
      </c>
      <c r="L61" s="11">
        <v>151</v>
      </c>
      <c r="M61" s="11">
        <v>13</v>
      </c>
    </row>
    <row r="62" spans="3:13" x14ac:dyDescent="0.25">
      <c r="C62" s="10" t="s">
        <v>16</v>
      </c>
      <c r="D62" s="11">
        <v>200</v>
      </c>
      <c r="E62" s="11">
        <v>184</v>
      </c>
      <c r="F62" s="11">
        <v>266</v>
      </c>
      <c r="G62" s="11">
        <v>182</v>
      </c>
      <c r="H62" s="11">
        <v>216</v>
      </c>
      <c r="I62" s="11">
        <v>173</v>
      </c>
      <c r="J62" s="11">
        <v>141</v>
      </c>
      <c r="K62" s="11" t="s">
        <v>77</v>
      </c>
      <c r="L62" s="11">
        <v>91</v>
      </c>
      <c r="M62" s="11">
        <v>129</v>
      </c>
    </row>
    <row r="63" spans="3:13" x14ac:dyDescent="0.25">
      <c r="C63" s="10" t="s">
        <v>17</v>
      </c>
      <c r="D63" s="11">
        <v>162</v>
      </c>
      <c r="E63" s="11">
        <v>164</v>
      </c>
      <c r="F63" s="11">
        <v>342</v>
      </c>
      <c r="G63" s="11">
        <v>168</v>
      </c>
      <c r="H63" s="11">
        <v>272</v>
      </c>
      <c r="I63" s="11">
        <v>160</v>
      </c>
      <c r="J63" s="11">
        <v>151</v>
      </c>
      <c r="K63" s="11">
        <v>91</v>
      </c>
      <c r="L63" s="11" t="s">
        <v>77</v>
      </c>
      <c r="M63" s="11">
        <v>110</v>
      </c>
    </row>
    <row r="64" spans="3:13" x14ac:dyDescent="0.25">
      <c r="C64" s="10" t="s">
        <v>18</v>
      </c>
      <c r="D64" s="11">
        <v>66</v>
      </c>
      <c r="E64" s="11">
        <v>65</v>
      </c>
      <c r="F64" s="11">
        <v>272</v>
      </c>
      <c r="G64" s="11">
        <v>37</v>
      </c>
      <c r="H64" s="11">
        <v>203</v>
      </c>
      <c r="I64" s="11">
        <v>48</v>
      </c>
      <c r="J64" s="11">
        <v>13</v>
      </c>
      <c r="K64" s="11">
        <v>129</v>
      </c>
      <c r="L64" s="11">
        <v>110</v>
      </c>
      <c r="M64" s="11" t="s">
        <v>77</v>
      </c>
    </row>
  </sheetData>
  <phoneticPr fontId="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0"/>
  <sheetViews>
    <sheetView zoomScale="75" workbookViewId="0">
      <selection activeCell="M22" sqref="M22"/>
    </sheetView>
  </sheetViews>
  <sheetFormatPr baseColWidth="10" defaultColWidth="10.875" defaultRowHeight="18.75" x14ac:dyDescent="0.25"/>
  <cols>
    <col min="1" max="1" width="22.625" style="1" customWidth="1"/>
    <col min="2" max="2" width="10.875" style="1"/>
    <col min="3" max="3" width="14.875" style="1" customWidth="1"/>
    <col min="4" max="6" width="10.875" style="1"/>
    <col min="7" max="7" width="14.5" style="1" customWidth="1"/>
    <col min="8" max="8" width="10.875" style="1"/>
    <col min="9" max="9" width="14" style="1" customWidth="1"/>
    <col min="10" max="10" width="10.875" style="1"/>
    <col min="11" max="11" width="15" style="1" customWidth="1"/>
    <col min="12" max="12" width="12" style="1" customWidth="1"/>
    <col min="13" max="16384" width="10.875" style="1"/>
  </cols>
  <sheetData>
    <row r="1" spans="1:12" s="7" customFormat="1" x14ac:dyDescent="0.25">
      <c r="A1" s="2" t="s">
        <v>26</v>
      </c>
      <c r="B1" s="7" t="s">
        <v>29</v>
      </c>
      <c r="C1" s="7" t="s">
        <v>27</v>
      </c>
      <c r="D1" s="7" t="s">
        <v>72</v>
      </c>
      <c r="E1" s="7" t="s">
        <v>66</v>
      </c>
      <c r="F1" s="7" t="s">
        <v>67</v>
      </c>
      <c r="G1" s="7" t="s">
        <v>68</v>
      </c>
      <c r="H1" s="8"/>
      <c r="I1" s="7" t="s">
        <v>28</v>
      </c>
      <c r="J1" s="7" t="s">
        <v>66</v>
      </c>
      <c r="K1" s="7" t="s">
        <v>67</v>
      </c>
      <c r="L1" s="7" t="s">
        <v>68</v>
      </c>
    </row>
    <row r="2" spans="1:12" x14ac:dyDescent="0.25">
      <c r="A2" s="1" t="s">
        <v>34</v>
      </c>
      <c r="B2" s="1" t="s">
        <v>30</v>
      </c>
      <c r="C2" s="5">
        <f>(73+277+277+277+18)</f>
        <v>922</v>
      </c>
      <c r="D2" s="5">
        <f>C2/5</f>
        <v>184.4</v>
      </c>
      <c r="E2" s="5">
        <v>318</v>
      </c>
      <c r="F2" s="5">
        <v>18</v>
      </c>
      <c r="G2" s="5">
        <f>1446/7</f>
        <v>206.57142857142858</v>
      </c>
      <c r="H2" s="4"/>
      <c r="I2" s="1" t="s">
        <v>73</v>
      </c>
      <c r="J2" s="1">
        <v>563</v>
      </c>
      <c r="K2" s="1">
        <v>18</v>
      </c>
      <c r="L2" s="5">
        <f>1928/7</f>
        <v>275.42857142857144</v>
      </c>
    </row>
    <row r="3" spans="1:12" x14ac:dyDescent="0.25">
      <c r="A3" s="1" t="s">
        <v>0</v>
      </c>
      <c r="B3" s="1" t="s">
        <v>30</v>
      </c>
      <c r="C3" s="5">
        <f>(26+51+51+163)</f>
        <v>291</v>
      </c>
      <c r="D3" s="5">
        <f>C3/4</f>
        <v>72.75</v>
      </c>
      <c r="E3" s="5">
        <v>277</v>
      </c>
      <c r="F3" s="5">
        <v>26</v>
      </c>
      <c r="G3" s="5">
        <f>1176/7</f>
        <v>168</v>
      </c>
      <c r="H3" s="4"/>
      <c r="I3" s="1" t="s">
        <v>30</v>
      </c>
      <c r="J3" s="1">
        <v>355</v>
      </c>
      <c r="K3" s="1">
        <v>26</v>
      </c>
      <c r="L3" s="5">
        <f>1417/9</f>
        <v>157.44444444444446</v>
      </c>
    </row>
    <row r="4" spans="1:12" x14ac:dyDescent="0.25">
      <c r="A4" s="1" t="s">
        <v>35</v>
      </c>
      <c r="B4" s="1" t="s">
        <v>30</v>
      </c>
      <c r="C4" s="5">
        <f>(134+31+51+51+51)</f>
        <v>318</v>
      </c>
      <c r="D4" s="5">
        <f>C4/5</f>
        <v>63.6</v>
      </c>
      <c r="E4" s="5">
        <v>318</v>
      </c>
      <c r="F4" s="5">
        <v>31</v>
      </c>
      <c r="G4" s="5">
        <f>1325/7</f>
        <v>189.28571428571428</v>
      </c>
      <c r="H4" s="4"/>
      <c r="I4" s="1" t="s">
        <v>30</v>
      </c>
      <c r="J4" s="1">
        <v>322</v>
      </c>
      <c r="K4" s="1">
        <v>31</v>
      </c>
      <c r="L4" s="5">
        <f>1123/9</f>
        <v>124.77777777777777</v>
      </c>
    </row>
    <row r="5" spans="1:12" x14ac:dyDescent="0.25">
      <c r="A5" s="1" t="s">
        <v>36</v>
      </c>
      <c r="B5" s="1" t="s">
        <v>30</v>
      </c>
      <c r="C5" s="5">
        <f>(62+181+270+312+18)</f>
        <v>843</v>
      </c>
      <c r="D5" s="5">
        <f>C5/5</f>
        <v>168.6</v>
      </c>
      <c r="E5" s="5">
        <v>312</v>
      </c>
      <c r="F5" s="5">
        <v>18</v>
      </c>
      <c r="G5" s="5">
        <f>1129/7</f>
        <v>161.28571428571428</v>
      </c>
      <c r="H5" s="4"/>
      <c r="I5" s="1" t="s">
        <v>73</v>
      </c>
      <c r="J5" s="1">
        <v>544</v>
      </c>
      <c r="K5" s="1">
        <v>18</v>
      </c>
      <c r="L5" s="5">
        <f>1837/7</f>
        <v>262.42857142857144</v>
      </c>
    </row>
    <row r="6" spans="1:12" x14ac:dyDescent="0.25">
      <c r="A6" s="1" t="s">
        <v>37</v>
      </c>
      <c r="B6" s="1" t="s">
        <v>30</v>
      </c>
      <c r="C6" s="5">
        <f>(73+291+62+62+244+192)</f>
        <v>924</v>
      </c>
      <c r="D6" s="5">
        <f>C6/6</f>
        <v>154</v>
      </c>
      <c r="E6" s="5">
        <v>291</v>
      </c>
      <c r="F6" s="5">
        <v>62</v>
      </c>
      <c r="G6" s="5">
        <f>1377/7</f>
        <v>196.71428571428572</v>
      </c>
      <c r="H6" s="4"/>
      <c r="I6" s="1" t="s">
        <v>73</v>
      </c>
      <c r="J6" s="1">
        <v>554</v>
      </c>
      <c r="K6" s="1">
        <v>62</v>
      </c>
      <c r="L6" s="5">
        <f>1951/7</f>
        <v>278.71428571428572</v>
      </c>
    </row>
    <row r="7" spans="1:12" x14ac:dyDescent="0.25">
      <c r="A7" s="1" t="s">
        <v>1</v>
      </c>
      <c r="B7" s="1" t="s">
        <v>30</v>
      </c>
      <c r="C7" s="5">
        <f>(163+110+282+134+268+125)</f>
        <v>1082</v>
      </c>
      <c r="D7" s="5">
        <f>C7/6</f>
        <v>180.33333333333334</v>
      </c>
      <c r="E7" s="5">
        <v>281</v>
      </c>
      <c r="F7" s="5">
        <v>110</v>
      </c>
      <c r="G7" s="5">
        <f>1353/7</f>
        <v>193.28571428571428</v>
      </c>
      <c r="H7" s="4"/>
      <c r="I7" s="1" t="s">
        <v>73</v>
      </c>
      <c r="J7" s="1">
        <v>364</v>
      </c>
      <c r="K7" s="1">
        <v>52</v>
      </c>
      <c r="L7" s="5">
        <f>1634/7</f>
        <v>233.42857142857142</v>
      </c>
    </row>
    <row r="8" spans="1:12" x14ac:dyDescent="0.25">
      <c r="A8" s="1" t="s">
        <v>4</v>
      </c>
      <c r="B8" s="1" t="s">
        <v>30</v>
      </c>
      <c r="C8" s="5">
        <f>(277+26+277+268+243)</f>
        <v>1091</v>
      </c>
      <c r="D8" s="5">
        <f>C8/5</f>
        <v>218.2</v>
      </c>
      <c r="E8" s="5">
        <v>277</v>
      </c>
      <c r="F8" s="5">
        <v>26</v>
      </c>
      <c r="G8" s="5">
        <f>1115/7</f>
        <v>159.28571428571428</v>
      </c>
      <c r="H8" s="4"/>
      <c r="I8" s="1" t="s">
        <v>30</v>
      </c>
      <c r="J8" s="1">
        <v>334</v>
      </c>
      <c r="K8" s="1">
        <v>26</v>
      </c>
      <c r="L8" s="5">
        <f>1283/9</f>
        <v>142.55555555555554</v>
      </c>
    </row>
    <row r="9" spans="1:12" x14ac:dyDescent="0.25">
      <c r="A9" s="1" t="s">
        <v>5</v>
      </c>
      <c r="B9" s="1" t="s">
        <v>30</v>
      </c>
      <c r="C9" s="5">
        <f>(145+188+181+110+202+145)</f>
        <v>971</v>
      </c>
      <c r="D9" s="5">
        <f>C9/6</f>
        <v>161.83333333333334</v>
      </c>
      <c r="E9" s="5">
        <v>202</v>
      </c>
      <c r="F9" s="5">
        <v>110</v>
      </c>
      <c r="G9" s="5">
        <f>1163/7</f>
        <v>166.14285714285714</v>
      </c>
      <c r="H9" s="4"/>
      <c r="I9" s="1" t="s">
        <v>73</v>
      </c>
      <c r="J9" s="1">
        <v>404</v>
      </c>
      <c r="K9" s="1">
        <v>110</v>
      </c>
      <c r="L9" s="5">
        <f>1636/7</f>
        <v>233.71428571428572</v>
      </c>
    </row>
    <row r="10" spans="1:12" x14ac:dyDescent="0.25">
      <c r="A10" s="1" t="s">
        <v>15</v>
      </c>
      <c r="B10" s="1" t="s">
        <v>31</v>
      </c>
      <c r="C10" s="5">
        <f>281+441+322+55+203</f>
        <v>1302</v>
      </c>
      <c r="D10" s="5">
        <f>C10/5</f>
        <v>260.39999999999998</v>
      </c>
      <c r="E10" s="5">
        <v>441</v>
      </c>
      <c r="F10" s="5">
        <v>31</v>
      </c>
      <c r="G10" s="5">
        <f>1627/8</f>
        <v>203.375</v>
      </c>
      <c r="H10" s="4"/>
      <c r="I10" s="1" t="s">
        <v>31</v>
      </c>
      <c r="J10" s="1">
        <v>322</v>
      </c>
      <c r="K10" s="1">
        <v>13</v>
      </c>
      <c r="L10" s="5">
        <f>1539/11</f>
        <v>139.90909090909091</v>
      </c>
    </row>
    <row r="11" spans="1:12" x14ac:dyDescent="0.25">
      <c r="A11" s="1" t="s">
        <v>7</v>
      </c>
      <c r="B11" s="1" t="s">
        <v>31</v>
      </c>
      <c r="C11" s="5">
        <f>449+292+113+322+55</f>
        <v>1231</v>
      </c>
      <c r="D11" s="5">
        <f>C11/5</f>
        <v>246.2</v>
      </c>
      <c r="E11" s="5">
        <v>449</v>
      </c>
      <c r="F11" s="5">
        <v>26</v>
      </c>
      <c r="G11" s="5">
        <f>1646/8</f>
        <v>205.75</v>
      </c>
      <c r="H11" s="4"/>
      <c r="I11" s="1" t="s">
        <v>31</v>
      </c>
      <c r="J11" s="1">
        <v>296</v>
      </c>
      <c r="K11" s="1">
        <v>26</v>
      </c>
      <c r="L11" s="5">
        <f>1837/11</f>
        <v>167</v>
      </c>
    </row>
    <row r="12" spans="1:12" x14ac:dyDescent="0.25">
      <c r="A12" s="1" t="s">
        <v>38</v>
      </c>
      <c r="B12" s="1" t="s">
        <v>31</v>
      </c>
      <c r="C12" s="5">
        <f>72+219+283+188+120+201+191+115</f>
        <v>1389</v>
      </c>
      <c r="D12" s="5">
        <f>C12/8</f>
        <v>173.625</v>
      </c>
      <c r="E12" s="5">
        <v>283</v>
      </c>
      <c r="F12" s="5">
        <v>72</v>
      </c>
      <c r="G12" s="5">
        <f>1389/8</f>
        <v>173.625</v>
      </c>
      <c r="H12" s="4"/>
      <c r="I12" s="1" t="s">
        <v>31</v>
      </c>
      <c r="J12" s="1">
        <v>240</v>
      </c>
      <c r="K12" s="1">
        <v>72</v>
      </c>
      <c r="L12" s="5">
        <f>1889/11</f>
        <v>171.72727272727272</v>
      </c>
    </row>
    <row r="13" spans="1:12" x14ac:dyDescent="0.25">
      <c r="A13" s="1" t="s">
        <v>39</v>
      </c>
      <c r="B13" s="1" t="s">
        <v>31</v>
      </c>
      <c r="C13" s="5">
        <f>118+210+128+214+124</f>
        <v>794</v>
      </c>
      <c r="D13" s="5">
        <f>C13/5</f>
        <v>158.80000000000001</v>
      </c>
      <c r="E13" s="5">
        <v>231</v>
      </c>
      <c r="F13" s="5">
        <v>120</v>
      </c>
      <c r="G13" s="5">
        <f>1238/8</f>
        <v>154.75</v>
      </c>
      <c r="H13" s="4"/>
      <c r="I13" s="1" t="s">
        <v>31</v>
      </c>
      <c r="J13" s="1">
        <v>280</v>
      </c>
      <c r="K13" s="1">
        <v>120</v>
      </c>
      <c r="L13" s="5">
        <f>2067/11</f>
        <v>187.90909090909091</v>
      </c>
    </row>
    <row r="14" spans="1:12" x14ac:dyDescent="0.25">
      <c r="A14" s="1" t="s">
        <v>10</v>
      </c>
      <c r="B14" s="1" t="s">
        <v>31</v>
      </c>
      <c r="C14" s="5">
        <f>292+288+190+281</f>
        <v>1051</v>
      </c>
      <c r="D14" s="5">
        <f>C14/4</f>
        <v>262.75</v>
      </c>
      <c r="E14" s="5">
        <v>288</v>
      </c>
      <c r="F14" s="5">
        <v>115</v>
      </c>
      <c r="G14" s="5">
        <f>1692/8</f>
        <v>211.5</v>
      </c>
      <c r="H14" s="4"/>
      <c r="I14" s="1" t="s">
        <v>31</v>
      </c>
      <c r="J14" s="1">
        <v>356</v>
      </c>
      <c r="K14" s="1">
        <v>115</v>
      </c>
      <c r="L14" s="5">
        <f>2730/11</f>
        <v>248.18181818181819</v>
      </c>
    </row>
    <row r="15" spans="1:12" x14ac:dyDescent="0.25">
      <c r="A15" s="1" t="s">
        <v>40</v>
      </c>
      <c r="B15" s="1" t="s">
        <v>31</v>
      </c>
      <c r="C15" s="5">
        <f>288+307+26+110+210+31</f>
        <v>972</v>
      </c>
      <c r="D15" s="5">
        <f>C15/6</f>
        <v>162</v>
      </c>
      <c r="E15" s="5">
        <v>447</v>
      </c>
      <c r="F15" s="5">
        <v>26</v>
      </c>
      <c r="G15" s="5">
        <f>1607/8</f>
        <v>200.875</v>
      </c>
      <c r="H15" s="4"/>
      <c r="I15" s="1" t="s">
        <v>31</v>
      </c>
      <c r="J15" s="1">
        <v>307</v>
      </c>
      <c r="K15" s="1">
        <v>26</v>
      </c>
      <c r="L15" s="5">
        <f>1637/11</f>
        <v>148.81818181818181</v>
      </c>
    </row>
    <row r="16" spans="1:12" x14ac:dyDescent="0.25">
      <c r="A16" s="1" t="s">
        <v>41</v>
      </c>
      <c r="B16" s="1" t="s">
        <v>31</v>
      </c>
      <c r="C16" s="5">
        <f>204+124+103+250+360</f>
        <v>1041</v>
      </c>
      <c r="D16" s="5">
        <f>C16/5</f>
        <v>208.2</v>
      </c>
      <c r="E16" s="5">
        <v>360</v>
      </c>
      <c r="F16" s="5">
        <v>72</v>
      </c>
      <c r="G16" s="5">
        <f>1336/8</f>
        <v>167</v>
      </c>
      <c r="H16" s="4"/>
      <c r="I16" s="1" t="s">
        <v>31</v>
      </c>
      <c r="J16" s="1">
        <v>250</v>
      </c>
      <c r="K16" s="1">
        <v>72</v>
      </c>
      <c r="L16" s="5">
        <f>1523/11</f>
        <v>138.45454545454547</v>
      </c>
    </row>
    <row r="17" spans="1:12" x14ac:dyDescent="0.25">
      <c r="A17" s="1" t="s">
        <v>42</v>
      </c>
      <c r="B17" s="1" t="s">
        <v>31</v>
      </c>
      <c r="C17" s="5">
        <f>128+296+283+250+204</f>
        <v>1161</v>
      </c>
      <c r="D17" s="5">
        <f>C17/5</f>
        <v>232.2</v>
      </c>
      <c r="E17" s="5">
        <v>322</v>
      </c>
      <c r="F17" s="5">
        <v>128</v>
      </c>
      <c r="G17" s="5">
        <f>1809/8</f>
        <v>226.125</v>
      </c>
      <c r="H17" s="4"/>
      <c r="I17" s="1" t="s">
        <v>31</v>
      </c>
      <c r="J17" s="1">
        <v>377</v>
      </c>
      <c r="K17" s="1">
        <v>128</v>
      </c>
      <c r="L17" s="5">
        <f>3118/11</f>
        <v>283.45454545454544</v>
      </c>
    </row>
    <row r="18" spans="1:12" x14ac:dyDescent="0.25">
      <c r="A18" s="1" t="s">
        <v>43</v>
      </c>
      <c r="B18" s="1" t="s">
        <v>31</v>
      </c>
      <c r="C18" s="5">
        <f>190+231+360+447+441</f>
        <v>1669</v>
      </c>
      <c r="D18" s="5">
        <f>C18/5</f>
        <v>333.8</v>
      </c>
      <c r="E18" s="5">
        <v>449</v>
      </c>
      <c r="F18" s="5">
        <v>190</v>
      </c>
      <c r="G18" s="5">
        <f>2654/8</f>
        <v>331.75</v>
      </c>
      <c r="H18" s="4"/>
      <c r="I18" s="1" t="s">
        <v>73</v>
      </c>
      <c r="J18" s="1">
        <v>494</v>
      </c>
      <c r="K18" s="1">
        <v>286</v>
      </c>
      <c r="L18" s="5">
        <f>2951/7</f>
        <v>421.57142857142856</v>
      </c>
    </row>
    <row r="19" spans="1:12" x14ac:dyDescent="0.25">
      <c r="A19" s="1" t="s">
        <v>44</v>
      </c>
      <c r="B19" s="1" t="s">
        <v>32</v>
      </c>
      <c r="C19" s="5">
        <f>64+74</f>
        <v>138</v>
      </c>
      <c r="D19" s="5">
        <f>C19/2</f>
        <v>69</v>
      </c>
      <c r="E19" s="5">
        <v>74</v>
      </c>
      <c r="F19" s="5">
        <v>50</v>
      </c>
      <c r="G19" s="5">
        <f>188/3</f>
        <v>62.666666666666664</v>
      </c>
      <c r="H19" s="4"/>
      <c r="I19" s="1" t="s">
        <v>31</v>
      </c>
      <c r="J19" s="1">
        <v>348</v>
      </c>
      <c r="K19" s="1">
        <v>50</v>
      </c>
      <c r="L19" s="5">
        <f>1786/11</f>
        <v>162.36363636363637</v>
      </c>
    </row>
    <row r="20" spans="1:12" x14ac:dyDescent="0.25">
      <c r="A20" s="1" t="s">
        <v>16</v>
      </c>
      <c r="B20" s="1" t="s">
        <v>32</v>
      </c>
      <c r="C20" s="5">
        <f>64+91</f>
        <v>155</v>
      </c>
      <c r="D20" s="5">
        <f>C20/2</f>
        <v>77.5</v>
      </c>
      <c r="E20" s="5">
        <v>129</v>
      </c>
      <c r="F20" s="5">
        <v>64</v>
      </c>
      <c r="G20" s="5">
        <f>284/3</f>
        <v>94.666666666666671</v>
      </c>
      <c r="H20" s="4"/>
      <c r="I20" s="1" t="s">
        <v>31</v>
      </c>
      <c r="J20" s="1">
        <v>343</v>
      </c>
      <c r="K20" s="1">
        <v>64</v>
      </c>
      <c r="L20" s="5">
        <f>2031/11</f>
        <v>184.63636363636363</v>
      </c>
    </row>
    <row r="21" spans="1:12" x14ac:dyDescent="0.25">
      <c r="A21" s="1" t="s">
        <v>18</v>
      </c>
      <c r="B21" s="1" t="s">
        <v>32</v>
      </c>
      <c r="C21" s="5">
        <f>110+74</f>
        <v>184</v>
      </c>
      <c r="D21" s="5">
        <f>C21/2</f>
        <v>92</v>
      </c>
      <c r="E21" s="5">
        <v>129</v>
      </c>
      <c r="F21" s="5">
        <v>74</v>
      </c>
      <c r="G21" s="5">
        <f>313/3</f>
        <v>104.33333333333333</v>
      </c>
      <c r="H21" s="4"/>
      <c r="I21" s="1" t="s">
        <v>31</v>
      </c>
      <c r="J21" s="1">
        <v>324</v>
      </c>
      <c r="K21" s="1">
        <v>13</v>
      </c>
      <c r="L21" s="5">
        <f>1512/11</f>
        <v>137.45454545454547</v>
      </c>
    </row>
    <row r="22" spans="1:12" x14ac:dyDescent="0.25">
      <c r="A22" s="1" t="s">
        <v>17</v>
      </c>
      <c r="B22" s="1" t="s">
        <v>32</v>
      </c>
      <c r="C22" s="5">
        <f>110+91</f>
        <v>201</v>
      </c>
      <c r="D22" s="5">
        <f>C22/2</f>
        <v>100.5</v>
      </c>
      <c r="E22" s="5">
        <v>110</v>
      </c>
      <c r="F22" s="5">
        <v>50</v>
      </c>
      <c r="G22" s="5">
        <f>251/3</f>
        <v>83.666666666666671</v>
      </c>
      <c r="H22" s="4"/>
      <c r="I22" s="1" t="s">
        <v>31</v>
      </c>
      <c r="J22" s="1">
        <v>377</v>
      </c>
      <c r="K22" s="1">
        <v>50</v>
      </c>
      <c r="L22" s="5">
        <f>2077/11</f>
        <v>188.81818181818181</v>
      </c>
    </row>
    <row r="23" spans="1:12" x14ac:dyDescent="0.25">
      <c r="A23" s="1" t="s">
        <v>69</v>
      </c>
      <c r="B23" s="1" t="s">
        <v>33</v>
      </c>
      <c r="C23" s="5">
        <f>(32+248+83+72+5)</f>
        <v>440</v>
      </c>
      <c r="D23" s="5">
        <f>C23/6</f>
        <v>73.333333333333329</v>
      </c>
      <c r="E23" s="5">
        <v>348</v>
      </c>
      <c r="F23" s="5">
        <v>0</v>
      </c>
      <c r="G23" s="5">
        <f>951/8</f>
        <v>118.875</v>
      </c>
      <c r="H23" s="4"/>
      <c r="I23" s="1" t="s">
        <v>30</v>
      </c>
      <c r="J23" s="1">
        <v>248</v>
      </c>
      <c r="K23" s="1">
        <v>0</v>
      </c>
      <c r="L23" s="5">
        <f>782/9</f>
        <v>86.888888888888886</v>
      </c>
    </row>
    <row r="24" spans="1:12" x14ac:dyDescent="0.25">
      <c r="A24" s="1" t="s">
        <v>70</v>
      </c>
      <c r="B24" s="1" t="s">
        <v>33</v>
      </c>
      <c r="C24" s="5">
        <f>(348+72+32+248)</f>
        <v>700</v>
      </c>
      <c r="D24" s="5">
        <f>C24/5</f>
        <v>140</v>
      </c>
      <c r="E24" s="5">
        <v>348</v>
      </c>
      <c r="F24" s="5">
        <v>0</v>
      </c>
      <c r="G24" s="5">
        <f>951/8</f>
        <v>118.875</v>
      </c>
      <c r="H24" s="4"/>
      <c r="I24" s="1" t="s">
        <v>30</v>
      </c>
      <c r="J24" s="1">
        <v>248</v>
      </c>
      <c r="K24" s="1">
        <v>0</v>
      </c>
      <c r="L24" s="5">
        <f>248/9</f>
        <v>27.555555555555557</v>
      </c>
    </row>
    <row r="25" spans="1:12" x14ac:dyDescent="0.25">
      <c r="A25" s="1" t="s">
        <v>19</v>
      </c>
      <c r="B25" s="1" t="s">
        <v>33</v>
      </c>
      <c r="C25" s="5">
        <f>(158+110+351+32+251)</f>
        <v>902</v>
      </c>
      <c r="D25" s="5">
        <f>C25/5</f>
        <v>180.4</v>
      </c>
      <c r="E25" s="5">
        <v>351</v>
      </c>
      <c r="F25" s="5">
        <v>29</v>
      </c>
      <c r="G25" s="5">
        <f>1037/8</f>
        <v>129.625</v>
      </c>
      <c r="H25" s="4"/>
      <c r="I25" s="1" t="s">
        <v>30</v>
      </c>
      <c r="J25" s="1">
        <v>251</v>
      </c>
      <c r="K25" s="1">
        <v>29</v>
      </c>
      <c r="L25" s="5">
        <f>904/9</f>
        <v>100.44444444444444</v>
      </c>
    </row>
    <row r="26" spans="1:12" x14ac:dyDescent="0.25">
      <c r="A26" s="1" t="s">
        <v>45</v>
      </c>
      <c r="B26" s="1" t="s">
        <v>33</v>
      </c>
      <c r="C26" s="5">
        <f>(78+132+5+5+88+29)</f>
        <v>337</v>
      </c>
      <c r="D26" s="5">
        <f>C26/6</f>
        <v>56.166666666666664</v>
      </c>
      <c r="E26" s="5">
        <v>352</v>
      </c>
      <c r="F26" s="5">
        <v>5</v>
      </c>
      <c r="G26" s="5">
        <f>951/8</f>
        <v>118.875</v>
      </c>
      <c r="H26" s="4"/>
      <c r="I26" s="1" t="s">
        <v>30</v>
      </c>
      <c r="J26" s="1">
        <v>252</v>
      </c>
      <c r="K26" s="1">
        <v>10</v>
      </c>
      <c r="L26" s="5">
        <f>786/9</f>
        <v>87.333333333333329</v>
      </c>
    </row>
    <row r="27" spans="1:12" x14ac:dyDescent="0.25">
      <c r="A27" s="1" t="s">
        <v>20</v>
      </c>
      <c r="B27" s="1" t="s">
        <v>33</v>
      </c>
      <c r="C27" s="5">
        <f>(351+132+158+112+109+158)</f>
        <v>1020</v>
      </c>
      <c r="D27" s="5">
        <f>C27/6</f>
        <v>170</v>
      </c>
      <c r="E27" s="5">
        <v>351</v>
      </c>
      <c r="F27" s="5">
        <v>109</v>
      </c>
      <c r="G27" s="5">
        <f>1414/8</f>
        <v>176.75</v>
      </c>
      <c r="H27" s="4"/>
      <c r="I27" s="1" t="s">
        <v>73</v>
      </c>
      <c r="J27" s="1">
        <v>390</v>
      </c>
      <c r="K27" s="1">
        <v>52</v>
      </c>
      <c r="L27" s="5">
        <f>1858/7</f>
        <v>265.42857142857144</v>
      </c>
    </row>
    <row r="28" spans="1:12" x14ac:dyDescent="0.25">
      <c r="A28" s="1" t="s">
        <v>46</v>
      </c>
      <c r="B28" s="1" t="s">
        <v>33</v>
      </c>
      <c r="C28" s="5">
        <f>(274+248+204+252+205)</f>
        <v>1183</v>
      </c>
      <c r="D28" s="5">
        <f>C28/5</f>
        <v>236.6</v>
      </c>
      <c r="E28" s="5">
        <v>274</v>
      </c>
      <c r="F28" s="5">
        <v>189</v>
      </c>
      <c r="G28" s="5">
        <f>1871/8</f>
        <v>233.875</v>
      </c>
      <c r="H28" s="4"/>
      <c r="I28" s="1" t="s">
        <v>30</v>
      </c>
      <c r="J28" s="1">
        <v>355</v>
      </c>
      <c r="K28" s="1">
        <v>189</v>
      </c>
      <c r="L28" s="5">
        <f>2404/9</f>
        <v>267.11111111111109</v>
      </c>
    </row>
    <row r="29" spans="1:12" x14ac:dyDescent="0.25">
      <c r="A29" s="1" t="s">
        <v>24</v>
      </c>
      <c r="B29" s="1" t="s">
        <v>33</v>
      </c>
      <c r="C29" s="5">
        <f>(352+352+348+339+204)</f>
        <v>1595</v>
      </c>
      <c r="D29" s="5">
        <f>C29/5</f>
        <v>319</v>
      </c>
      <c r="E29" s="5">
        <v>352</v>
      </c>
      <c r="F29" s="5">
        <v>204</v>
      </c>
      <c r="G29" s="5">
        <f>2645/8</f>
        <v>330.625</v>
      </c>
      <c r="H29" s="4"/>
      <c r="I29" s="1" t="s">
        <v>73</v>
      </c>
      <c r="J29" s="1">
        <v>563</v>
      </c>
      <c r="K29" s="1">
        <v>286</v>
      </c>
      <c r="L29" s="5">
        <f>2978/7</f>
        <v>425.42857142857144</v>
      </c>
    </row>
    <row r="30" spans="1:12" x14ac:dyDescent="0.25">
      <c r="A30" s="1" t="s">
        <v>47</v>
      </c>
      <c r="B30" s="1" t="s">
        <v>33</v>
      </c>
      <c r="C30" s="5">
        <f>(15+110+83+339+189)</f>
        <v>736</v>
      </c>
      <c r="D30" s="5">
        <f>C30/5</f>
        <v>147.19999999999999</v>
      </c>
      <c r="E30" s="5">
        <v>339</v>
      </c>
      <c r="F30" s="5">
        <v>15</v>
      </c>
      <c r="G30" s="5">
        <f>1016/8</f>
        <v>127</v>
      </c>
      <c r="H30" s="4"/>
      <c r="I30" s="1" t="s">
        <v>30</v>
      </c>
      <c r="J30" s="1">
        <v>216</v>
      </c>
      <c r="K30" s="1">
        <v>15</v>
      </c>
      <c r="L30" s="5">
        <f>1163/9</f>
        <v>129.22222222222223</v>
      </c>
    </row>
    <row r="31" spans="1:12" x14ac:dyDescent="0.25">
      <c r="A31" s="1" t="s">
        <v>22</v>
      </c>
      <c r="B31" s="1" t="s">
        <v>33</v>
      </c>
      <c r="C31" s="5">
        <f>(352+205+120+15+120)</f>
        <v>812</v>
      </c>
      <c r="D31" s="5">
        <f>C31/5</f>
        <v>162.4</v>
      </c>
      <c r="E31" s="5">
        <v>352</v>
      </c>
      <c r="F31" s="5">
        <v>15</v>
      </c>
      <c r="G31" s="5">
        <f>1034/8</f>
        <v>129.25</v>
      </c>
      <c r="H31" s="4"/>
      <c r="I31" s="1" t="s">
        <v>30</v>
      </c>
      <c r="J31" s="1">
        <v>226</v>
      </c>
      <c r="K31" s="1">
        <v>15</v>
      </c>
      <c r="L31" s="5">
        <f>1195/9</f>
        <v>132.77777777777777</v>
      </c>
    </row>
    <row r="34" spans="1:15" x14ac:dyDescent="0.25">
      <c r="A34" s="3" t="s">
        <v>62</v>
      </c>
      <c r="B34" s="3" t="s">
        <v>65</v>
      </c>
      <c r="C34" s="6">
        <f>SUM(C2:C31)</f>
        <v>25455</v>
      </c>
      <c r="D34" s="6">
        <f t="shared" ref="D34:L34" si="0">SUM(D2:D31)</f>
        <v>5065.791666666667</v>
      </c>
      <c r="E34" s="6">
        <f t="shared" si="0"/>
        <v>9055</v>
      </c>
      <c r="F34" s="6">
        <f t="shared" si="0"/>
        <v>1985</v>
      </c>
      <c r="G34" s="6">
        <f t="shared" si="0"/>
        <v>5144.4047619047615</v>
      </c>
      <c r="H34" s="6"/>
      <c r="I34" s="6" t="s">
        <v>74</v>
      </c>
      <c r="J34" s="6">
        <f t="shared" si="0"/>
        <v>10503</v>
      </c>
      <c r="K34" s="6">
        <f t="shared" si="0"/>
        <v>1974</v>
      </c>
      <c r="L34" s="6">
        <f t="shared" si="0"/>
        <v>5810.9812409812412</v>
      </c>
    </row>
    <row r="36" spans="1:15" x14ac:dyDescent="0.25">
      <c r="A36" s="7"/>
    </row>
    <row r="37" spans="1:15" s="7" customFormat="1" x14ac:dyDescent="0.25">
      <c r="A37" s="7" t="s">
        <v>82</v>
      </c>
      <c r="C37" s="9" t="s">
        <v>30</v>
      </c>
      <c r="D37" s="10" t="s">
        <v>0</v>
      </c>
      <c r="E37" s="10" t="s">
        <v>76</v>
      </c>
      <c r="F37" s="10" t="s">
        <v>4</v>
      </c>
      <c r="G37" s="10" t="s">
        <v>83</v>
      </c>
      <c r="H37" s="10" t="s">
        <v>19</v>
      </c>
      <c r="I37" s="10" t="s">
        <v>45</v>
      </c>
      <c r="J37" s="10" t="s">
        <v>46</v>
      </c>
      <c r="K37" s="10" t="s">
        <v>22</v>
      </c>
      <c r="L37" s="10" t="s">
        <v>47</v>
      </c>
      <c r="M37" s="10"/>
      <c r="N37" s="10"/>
      <c r="O37" s="10"/>
    </row>
    <row r="38" spans="1:15" x14ac:dyDescent="0.25">
      <c r="C38" s="10" t="s">
        <v>0</v>
      </c>
      <c r="D38" s="11" t="s">
        <v>77</v>
      </c>
      <c r="E38" s="11">
        <v>51</v>
      </c>
      <c r="F38" s="11">
        <v>26</v>
      </c>
      <c r="G38" s="11">
        <v>140</v>
      </c>
      <c r="H38" s="11">
        <v>129</v>
      </c>
      <c r="I38" s="11">
        <v>134</v>
      </c>
      <c r="J38" s="11">
        <v>355</v>
      </c>
      <c r="K38" s="11">
        <v>226</v>
      </c>
      <c r="L38" s="11">
        <v>216</v>
      </c>
      <c r="M38" s="11"/>
      <c r="N38" s="11"/>
      <c r="O38" s="11"/>
    </row>
    <row r="39" spans="1:15" x14ac:dyDescent="0.25">
      <c r="C39" s="10" t="s">
        <v>76</v>
      </c>
      <c r="D39" s="11">
        <v>51</v>
      </c>
      <c r="E39" s="11" t="s">
        <v>77</v>
      </c>
      <c r="F39" s="11">
        <v>31</v>
      </c>
      <c r="G39" s="11">
        <v>83</v>
      </c>
      <c r="H39" s="11">
        <v>96</v>
      </c>
      <c r="I39" s="11">
        <v>77</v>
      </c>
      <c r="J39" s="11">
        <v>322</v>
      </c>
      <c r="K39" s="11">
        <v>197</v>
      </c>
      <c r="L39" s="11">
        <v>183</v>
      </c>
      <c r="M39" s="11"/>
      <c r="N39" s="11"/>
      <c r="O39" s="11"/>
    </row>
    <row r="40" spans="1:15" x14ac:dyDescent="0.25">
      <c r="C40" s="10" t="s">
        <v>4</v>
      </c>
      <c r="D40" s="11">
        <v>26</v>
      </c>
      <c r="E40" s="11">
        <v>31</v>
      </c>
      <c r="F40" s="11" t="s">
        <v>77</v>
      </c>
      <c r="G40" s="11">
        <v>114</v>
      </c>
      <c r="H40" s="11">
        <v>105</v>
      </c>
      <c r="I40" s="11">
        <v>108</v>
      </c>
      <c r="J40" s="11">
        <v>334</v>
      </c>
      <c r="K40" s="11">
        <v>210</v>
      </c>
      <c r="L40" s="11">
        <v>196</v>
      </c>
      <c r="M40" s="11"/>
      <c r="N40" s="11"/>
      <c r="O40" s="11"/>
    </row>
    <row r="41" spans="1:15" x14ac:dyDescent="0.25">
      <c r="C41" s="10" t="s">
        <v>83</v>
      </c>
      <c r="D41" s="11">
        <v>140</v>
      </c>
      <c r="E41" s="11">
        <v>83</v>
      </c>
      <c r="F41" s="11">
        <v>114</v>
      </c>
      <c r="G41" s="11" t="s">
        <v>77</v>
      </c>
      <c r="H41" s="11">
        <v>32</v>
      </c>
      <c r="I41" s="11">
        <v>10</v>
      </c>
      <c r="J41" s="11">
        <v>248</v>
      </c>
      <c r="K41" s="11">
        <v>72</v>
      </c>
      <c r="L41" s="11">
        <v>83</v>
      </c>
      <c r="M41" s="11"/>
      <c r="N41" s="11"/>
      <c r="O41" s="11"/>
    </row>
    <row r="42" spans="1:15" x14ac:dyDescent="0.25">
      <c r="C42" s="10" t="s">
        <v>19</v>
      </c>
      <c r="D42" s="11">
        <v>129</v>
      </c>
      <c r="E42" s="11">
        <v>96</v>
      </c>
      <c r="F42" s="11">
        <v>105</v>
      </c>
      <c r="G42" s="11">
        <v>32</v>
      </c>
      <c r="H42" s="11" t="s">
        <v>77</v>
      </c>
      <c r="I42" s="11">
        <v>29</v>
      </c>
      <c r="J42" s="11">
        <v>251</v>
      </c>
      <c r="K42" s="11">
        <v>120</v>
      </c>
      <c r="L42" s="11">
        <v>110</v>
      </c>
      <c r="M42" s="11"/>
      <c r="N42" s="11"/>
      <c r="O42" s="11"/>
    </row>
    <row r="43" spans="1:15" x14ac:dyDescent="0.25">
      <c r="C43" s="10" t="s">
        <v>45</v>
      </c>
      <c r="D43" s="11">
        <v>134</v>
      </c>
      <c r="E43" s="11">
        <v>77</v>
      </c>
      <c r="F43" s="11">
        <v>108</v>
      </c>
      <c r="G43" s="11">
        <v>10</v>
      </c>
      <c r="H43" s="11">
        <v>29</v>
      </c>
      <c r="I43" s="11" t="s">
        <v>77</v>
      </c>
      <c r="J43" s="11">
        <v>252</v>
      </c>
      <c r="K43" s="11">
        <v>78</v>
      </c>
      <c r="L43" s="11">
        <v>88</v>
      </c>
      <c r="M43" s="11"/>
      <c r="N43" s="11"/>
      <c r="O43" s="11"/>
    </row>
    <row r="44" spans="1:15" x14ac:dyDescent="0.25">
      <c r="C44" s="10" t="s">
        <v>46</v>
      </c>
      <c r="D44" s="11">
        <v>355</v>
      </c>
      <c r="E44" s="11">
        <v>322</v>
      </c>
      <c r="F44" s="11">
        <v>334</v>
      </c>
      <c r="G44" s="11">
        <v>248</v>
      </c>
      <c r="H44" s="11">
        <v>251</v>
      </c>
      <c r="I44" s="11">
        <v>252</v>
      </c>
      <c r="J44" s="11" t="s">
        <v>77</v>
      </c>
      <c r="K44" s="11">
        <v>205</v>
      </c>
      <c r="L44" s="11">
        <v>189</v>
      </c>
      <c r="M44" s="11"/>
      <c r="N44" s="11"/>
      <c r="O44" s="11"/>
    </row>
    <row r="45" spans="1:15" x14ac:dyDescent="0.25">
      <c r="C45" s="10" t="s">
        <v>22</v>
      </c>
      <c r="D45" s="11">
        <v>226</v>
      </c>
      <c r="E45" s="11">
        <v>197</v>
      </c>
      <c r="F45" s="11">
        <v>210</v>
      </c>
      <c r="G45" s="11">
        <v>72</v>
      </c>
      <c r="H45" s="11">
        <v>120</v>
      </c>
      <c r="I45" s="11">
        <v>78</v>
      </c>
      <c r="J45" s="11">
        <v>205</v>
      </c>
      <c r="K45" s="11" t="s">
        <v>77</v>
      </c>
      <c r="L45" s="11">
        <v>15</v>
      </c>
      <c r="M45" s="11"/>
      <c r="N45" s="11"/>
      <c r="O45" s="11"/>
    </row>
    <row r="46" spans="1:15" x14ac:dyDescent="0.25">
      <c r="C46" s="10" t="s">
        <v>47</v>
      </c>
      <c r="D46" s="11">
        <v>216</v>
      </c>
      <c r="E46" s="11">
        <v>183</v>
      </c>
      <c r="F46" s="11">
        <v>196</v>
      </c>
      <c r="G46" s="11">
        <v>83</v>
      </c>
      <c r="H46" s="11">
        <v>110</v>
      </c>
      <c r="I46" s="11">
        <v>88</v>
      </c>
      <c r="J46" s="11">
        <v>189</v>
      </c>
      <c r="K46" s="11">
        <v>15</v>
      </c>
      <c r="L46" s="11" t="s">
        <v>77</v>
      </c>
      <c r="M46" s="11"/>
      <c r="N46" s="11"/>
      <c r="O46" s="11"/>
    </row>
    <row r="47" spans="1:15" x14ac:dyDescent="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7" customFormat="1" x14ac:dyDescent="0.25">
      <c r="C48" s="9" t="s">
        <v>73</v>
      </c>
      <c r="D48" s="10" t="s">
        <v>34</v>
      </c>
      <c r="E48" s="10" t="s">
        <v>36</v>
      </c>
      <c r="F48" s="10" t="s">
        <v>37</v>
      </c>
      <c r="G48" s="10" t="s">
        <v>1</v>
      </c>
      <c r="H48" s="10" t="s">
        <v>5</v>
      </c>
      <c r="I48" s="10" t="s">
        <v>78</v>
      </c>
      <c r="J48" s="10" t="s">
        <v>20</v>
      </c>
      <c r="K48" s="10" t="s">
        <v>24</v>
      </c>
      <c r="L48" s="10"/>
      <c r="M48" s="10"/>
      <c r="N48" s="10"/>
      <c r="O48" s="10"/>
    </row>
    <row r="49" spans="3:15" x14ac:dyDescent="0.25">
      <c r="C49" s="10" t="s">
        <v>34</v>
      </c>
      <c r="D49" s="11" t="s">
        <v>77</v>
      </c>
      <c r="E49" s="11">
        <v>18</v>
      </c>
      <c r="F49" s="11">
        <v>73</v>
      </c>
      <c r="G49" s="11">
        <v>281</v>
      </c>
      <c r="H49" s="11">
        <v>202</v>
      </c>
      <c r="I49" s="11">
        <v>478</v>
      </c>
      <c r="J49" s="11">
        <v>313</v>
      </c>
      <c r="K49" s="11">
        <v>563</v>
      </c>
      <c r="L49" s="11"/>
      <c r="M49" s="11"/>
      <c r="N49" s="11"/>
      <c r="O49" s="11"/>
    </row>
    <row r="50" spans="3:15" x14ac:dyDescent="0.25">
      <c r="C50" s="10" t="s">
        <v>36</v>
      </c>
      <c r="D50" s="11">
        <v>18</v>
      </c>
      <c r="E50" s="11" t="s">
        <v>77</v>
      </c>
      <c r="F50" s="11">
        <v>62</v>
      </c>
      <c r="G50" s="11">
        <v>268</v>
      </c>
      <c r="H50" s="11">
        <v>181</v>
      </c>
      <c r="I50" s="11">
        <v>470</v>
      </c>
      <c r="J50" s="11">
        <v>294</v>
      </c>
      <c r="K50" s="11">
        <v>544</v>
      </c>
      <c r="L50" s="11"/>
      <c r="M50" s="11"/>
      <c r="N50" s="11"/>
      <c r="O50" s="11"/>
    </row>
    <row r="51" spans="3:15" x14ac:dyDescent="0.25">
      <c r="C51" s="10" t="s">
        <v>37</v>
      </c>
      <c r="D51" s="11">
        <v>73</v>
      </c>
      <c r="E51" s="11">
        <v>62</v>
      </c>
      <c r="F51" s="11" t="s">
        <v>77</v>
      </c>
      <c r="G51" s="11">
        <v>272</v>
      </c>
      <c r="H51" s="11">
        <v>192</v>
      </c>
      <c r="I51" s="11">
        <v>494</v>
      </c>
      <c r="J51" s="11">
        <v>304</v>
      </c>
      <c r="K51" s="11">
        <v>554</v>
      </c>
      <c r="L51" s="11"/>
      <c r="M51" s="11"/>
      <c r="N51" s="11"/>
      <c r="O51" s="11"/>
    </row>
    <row r="52" spans="3:15" x14ac:dyDescent="0.25">
      <c r="C52" s="10" t="s">
        <v>1</v>
      </c>
      <c r="D52" s="11">
        <v>281</v>
      </c>
      <c r="E52" s="11">
        <v>268</v>
      </c>
      <c r="F52" s="11">
        <v>272</v>
      </c>
      <c r="G52" s="11" t="s">
        <v>77</v>
      </c>
      <c r="H52" s="11">
        <v>110</v>
      </c>
      <c r="I52" s="11">
        <v>364</v>
      </c>
      <c r="J52" s="11">
        <v>52</v>
      </c>
      <c r="K52" s="11">
        <v>287</v>
      </c>
      <c r="L52" s="11"/>
      <c r="M52" s="11"/>
      <c r="N52" s="11"/>
      <c r="O52" s="11"/>
    </row>
    <row r="53" spans="3:15" x14ac:dyDescent="0.25">
      <c r="C53" s="10" t="s">
        <v>5</v>
      </c>
      <c r="D53" s="11">
        <v>202</v>
      </c>
      <c r="E53" s="11">
        <v>181</v>
      </c>
      <c r="F53" s="11">
        <v>192</v>
      </c>
      <c r="G53" s="11">
        <v>110</v>
      </c>
      <c r="H53" s="11" t="s">
        <v>77</v>
      </c>
      <c r="I53" s="11">
        <v>404</v>
      </c>
      <c r="J53" s="11">
        <v>154</v>
      </c>
      <c r="K53" s="11">
        <v>393</v>
      </c>
      <c r="L53" s="11"/>
      <c r="M53" s="11"/>
      <c r="N53" s="11"/>
      <c r="O53" s="11"/>
    </row>
    <row r="54" spans="3:15" x14ac:dyDescent="0.25">
      <c r="C54" s="10" t="s">
        <v>78</v>
      </c>
      <c r="D54" s="11">
        <v>478</v>
      </c>
      <c r="E54" s="11">
        <v>470</v>
      </c>
      <c r="F54" s="11">
        <v>494</v>
      </c>
      <c r="G54" s="11">
        <v>364</v>
      </c>
      <c r="H54" s="11">
        <v>404</v>
      </c>
      <c r="I54" s="11" t="s">
        <v>77</v>
      </c>
      <c r="J54" s="11">
        <v>390</v>
      </c>
      <c r="K54" s="11">
        <v>286</v>
      </c>
      <c r="L54" s="11"/>
      <c r="M54" s="11"/>
      <c r="N54" s="11"/>
      <c r="O54" s="11"/>
    </row>
    <row r="55" spans="3:15" x14ac:dyDescent="0.25">
      <c r="C55" s="10" t="s">
        <v>20</v>
      </c>
      <c r="D55" s="11">
        <v>313</v>
      </c>
      <c r="E55" s="11">
        <v>294</v>
      </c>
      <c r="F55" s="11">
        <v>304</v>
      </c>
      <c r="G55" s="11">
        <v>52</v>
      </c>
      <c r="H55" s="11">
        <v>154</v>
      </c>
      <c r="I55" s="11">
        <v>390</v>
      </c>
      <c r="J55" s="11" t="s">
        <v>77</v>
      </c>
      <c r="K55" s="11">
        <v>351</v>
      </c>
      <c r="L55" s="11"/>
      <c r="M55" s="11"/>
      <c r="N55" s="11"/>
      <c r="O55" s="11"/>
    </row>
    <row r="56" spans="3:15" x14ac:dyDescent="0.25">
      <c r="C56" s="10" t="s">
        <v>24</v>
      </c>
      <c r="D56" s="11">
        <v>563</v>
      </c>
      <c r="E56" s="11">
        <v>544</v>
      </c>
      <c r="F56" s="11">
        <v>554</v>
      </c>
      <c r="G56" s="11">
        <v>287</v>
      </c>
      <c r="H56" s="11">
        <v>393</v>
      </c>
      <c r="I56" s="11">
        <v>286</v>
      </c>
      <c r="J56" s="11">
        <v>351</v>
      </c>
      <c r="K56" s="11" t="s">
        <v>77</v>
      </c>
      <c r="L56" s="11"/>
      <c r="M56" s="11"/>
      <c r="N56" s="11"/>
      <c r="O56" s="11"/>
    </row>
    <row r="57" spans="3:15" x14ac:dyDescent="0.25"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s="7" customFormat="1" x14ac:dyDescent="0.25">
      <c r="C58" s="9" t="s">
        <v>31</v>
      </c>
      <c r="D58" s="10" t="s">
        <v>15</v>
      </c>
      <c r="E58" s="10" t="s">
        <v>7</v>
      </c>
      <c r="F58" s="10" t="s">
        <v>38</v>
      </c>
      <c r="G58" s="10" t="s">
        <v>39</v>
      </c>
      <c r="H58" s="10" t="s">
        <v>10</v>
      </c>
      <c r="I58" s="10" t="s">
        <v>40</v>
      </c>
      <c r="J58" s="10" t="s">
        <v>41</v>
      </c>
      <c r="K58" s="10" t="s">
        <v>42</v>
      </c>
      <c r="L58" s="10" t="s">
        <v>44</v>
      </c>
      <c r="M58" s="10" t="s">
        <v>16</v>
      </c>
      <c r="N58" s="10" t="s">
        <v>18</v>
      </c>
      <c r="O58" s="10" t="s">
        <v>17</v>
      </c>
    </row>
    <row r="59" spans="3:15" x14ac:dyDescent="0.25">
      <c r="C59" s="10" t="s">
        <v>15</v>
      </c>
      <c r="D59" s="11" t="s">
        <v>77</v>
      </c>
      <c r="E59" s="11">
        <v>55</v>
      </c>
      <c r="F59" s="11">
        <v>191</v>
      </c>
      <c r="G59" s="11">
        <v>203</v>
      </c>
      <c r="H59" s="11">
        <v>281</v>
      </c>
      <c r="I59" s="11">
        <v>31</v>
      </c>
      <c r="J59" s="11">
        <v>103</v>
      </c>
      <c r="K59" s="11">
        <v>322</v>
      </c>
      <c r="L59" s="11">
        <v>88</v>
      </c>
      <c r="M59" s="11">
        <v>159</v>
      </c>
      <c r="N59" s="11">
        <v>13</v>
      </c>
      <c r="O59" s="11">
        <v>113</v>
      </c>
    </row>
    <row r="60" spans="3:15" x14ac:dyDescent="0.25">
      <c r="C60" s="10" t="s">
        <v>7</v>
      </c>
      <c r="D60" s="11">
        <v>55</v>
      </c>
      <c r="E60" s="11" t="s">
        <v>77</v>
      </c>
      <c r="F60" s="11">
        <v>201</v>
      </c>
      <c r="G60" s="11">
        <v>214</v>
      </c>
      <c r="H60" s="11">
        <v>292</v>
      </c>
      <c r="I60" s="11">
        <v>26</v>
      </c>
      <c r="J60" s="11">
        <v>113</v>
      </c>
      <c r="K60" s="11">
        <v>296</v>
      </c>
      <c r="L60" s="11">
        <v>162</v>
      </c>
      <c r="M60" s="11">
        <v>218</v>
      </c>
      <c r="N60" s="11">
        <v>69</v>
      </c>
      <c r="O60" s="11">
        <v>191</v>
      </c>
    </row>
    <row r="61" spans="3:15" x14ac:dyDescent="0.25">
      <c r="C61" s="10" t="s">
        <v>38</v>
      </c>
      <c r="D61" s="11">
        <v>191</v>
      </c>
      <c r="E61" s="11">
        <v>201</v>
      </c>
      <c r="F61" s="11" t="s">
        <v>77</v>
      </c>
      <c r="G61" s="11">
        <v>120</v>
      </c>
      <c r="H61" s="11">
        <v>115</v>
      </c>
      <c r="I61" s="11">
        <v>188</v>
      </c>
      <c r="J61" s="11">
        <v>72</v>
      </c>
      <c r="K61" s="11">
        <v>219</v>
      </c>
      <c r="L61" s="11">
        <v>211</v>
      </c>
      <c r="M61" s="11">
        <v>151</v>
      </c>
      <c r="N61" s="11">
        <v>181</v>
      </c>
      <c r="O61" s="11">
        <v>240</v>
      </c>
    </row>
    <row r="62" spans="3:15" x14ac:dyDescent="0.25">
      <c r="C62" s="10" t="s">
        <v>39</v>
      </c>
      <c r="D62" s="11">
        <v>203</v>
      </c>
      <c r="E62" s="11">
        <v>214</v>
      </c>
      <c r="F62" s="11">
        <v>120</v>
      </c>
      <c r="G62" s="11" t="s">
        <v>77</v>
      </c>
      <c r="H62" s="11">
        <v>118</v>
      </c>
      <c r="I62" s="11">
        <v>210</v>
      </c>
      <c r="J62" s="11">
        <v>124</v>
      </c>
      <c r="K62" s="11">
        <v>128</v>
      </c>
      <c r="L62" s="11">
        <v>223</v>
      </c>
      <c r="M62" s="11">
        <v>280</v>
      </c>
      <c r="N62" s="11">
        <v>194</v>
      </c>
      <c r="O62" s="11">
        <v>253</v>
      </c>
    </row>
    <row r="63" spans="3:15" x14ac:dyDescent="0.25">
      <c r="C63" s="10" t="s">
        <v>10</v>
      </c>
      <c r="D63" s="11">
        <v>281</v>
      </c>
      <c r="E63" s="11">
        <v>292</v>
      </c>
      <c r="F63" s="11">
        <v>115</v>
      </c>
      <c r="G63" s="11">
        <v>118</v>
      </c>
      <c r="H63" s="11" t="s">
        <v>77</v>
      </c>
      <c r="I63" s="11">
        <v>288</v>
      </c>
      <c r="J63" s="11">
        <v>204</v>
      </c>
      <c r="K63" s="11">
        <v>204</v>
      </c>
      <c r="L63" s="11">
        <v>328</v>
      </c>
      <c r="M63" s="11">
        <v>266</v>
      </c>
      <c r="N63" s="11">
        <v>278</v>
      </c>
      <c r="O63" s="11">
        <v>356</v>
      </c>
    </row>
    <row r="64" spans="3:15" x14ac:dyDescent="0.25">
      <c r="C64" s="10" t="s">
        <v>40</v>
      </c>
      <c r="D64" s="11">
        <v>31</v>
      </c>
      <c r="E64" s="11">
        <v>26</v>
      </c>
      <c r="F64" s="11">
        <v>188</v>
      </c>
      <c r="G64" s="11">
        <v>210</v>
      </c>
      <c r="H64" s="11">
        <v>288</v>
      </c>
      <c r="I64" s="11" t="s">
        <v>77</v>
      </c>
      <c r="J64" s="11">
        <v>110</v>
      </c>
      <c r="K64" s="11">
        <v>307</v>
      </c>
      <c r="L64" s="11">
        <v>115</v>
      </c>
      <c r="M64" s="11">
        <v>171</v>
      </c>
      <c r="N64" s="11">
        <v>47</v>
      </c>
      <c r="O64" s="11">
        <v>144</v>
      </c>
    </row>
    <row r="65" spans="3:15" x14ac:dyDescent="0.25">
      <c r="C65" s="10" t="s">
        <v>41</v>
      </c>
      <c r="D65" s="11">
        <v>103</v>
      </c>
      <c r="E65" s="11">
        <v>113</v>
      </c>
      <c r="F65" s="11">
        <v>72</v>
      </c>
      <c r="G65" s="11">
        <v>124</v>
      </c>
      <c r="H65" s="11">
        <v>204</v>
      </c>
      <c r="I65" s="11">
        <v>110</v>
      </c>
      <c r="J65" s="11" t="s">
        <v>77</v>
      </c>
      <c r="K65" s="11">
        <v>250</v>
      </c>
      <c r="L65" s="11">
        <v>123</v>
      </c>
      <c r="M65" s="11">
        <v>179</v>
      </c>
      <c r="N65" s="11">
        <v>93</v>
      </c>
      <c r="O65" s="11">
        <v>152</v>
      </c>
    </row>
    <row r="66" spans="3:15" x14ac:dyDescent="0.25">
      <c r="C66" s="10" t="s">
        <v>42</v>
      </c>
      <c r="D66" s="11">
        <v>322</v>
      </c>
      <c r="E66" s="11">
        <v>296</v>
      </c>
      <c r="F66" s="11">
        <v>129</v>
      </c>
      <c r="G66" s="11">
        <v>128</v>
      </c>
      <c r="H66" s="11">
        <v>204</v>
      </c>
      <c r="I66" s="11">
        <v>307</v>
      </c>
      <c r="J66" s="11">
        <v>250</v>
      </c>
      <c r="K66" s="11" t="s">
        <v>77</v>
      </c>
      <c r="L66" s="11">
        <v>348</v>
      </c>
      <c r="M66" s="11">
        <v>343</v>
      </c>
      <c r="N66" s="11">
        <v>324</v>
      </c>
      <c r="O66" s="11">
        <v>377</v>
      </c>
    </row>
    <row r="67" spans="3:15" x14ac:dyDescent="0.25">
      <c r="C67" s="10" t="s">
        <v>44</v>
      </c>
      <c r="D67" s="11">
        <v>88</v>
      </c>
      <c r="E67" s="11">
        <v>162</v>
      </c>
      <c r="F67" s="11">
        <v>211</v>
      </c>
      <c r="G67" s="11">
        <v>223</v>
      </c>
      <c r="H67" s="11">
        <v>328</v>
      </c>
      <c r="I67" s="11">
        <v>115</v>
      </c>
      <c r="J67" s="11">
        <v>123</v>
      </c>
      <c r="K67" s="11">
        <v>348</v>
      </c>
      <c r="L67" s="11" t="s">
        <v>77</v>
      </c>
      <c r="M67" s="11">
        <v>64</v>
      </c>
      <c r="N67" s="11">
        <v>74</v>
      </c>
      <c r="O67" s="11">
        <v>50</v>
      </c>
    </row>
    <row r="68" spans="3:15" x14ac:dyDescent="0.25">
      <c r="C68" s="10" t="s">
        <v>16</v>
      </c>
      <c r="D68" s="11">
        <v>139</v>
      </c>
      <c r="E68" s="11">
        <v>218</v>
      </c>
      <c r="F68" s="11">
        <v>151</v>
      </c>
      <c r="G68" s="11">
        <v>280</v>
      </c>
      <c r="H68" s="11">
        <v>266</v>
      </c>
      <c r="I68" s="11">
        <v>171</v>
      </c>
      <c r="J68" s="11">
        <v>179</v>
      </c>
      <c r="K68" s="11">
        <v>343</v>
      </c>
      <c r="L68" s="11">
        <v>64</v>
      </c>
      <c r="M68" s="11" t="s">
        <v>77</v>
      </c>
      <c r="N68" s="11">
        <v>129</v>
      </c>
      <c r="O68" s="11">
        <v>91</v>
      </c>
    </row>
    <row r="69" spans="3:15" x14ac:dyDescent="0.25">
      <c r="C69" s="10" t="s">
        <v>18</v>
      </c>
      <c r="D69" s="11">
        <v>13</v>
      </c>
      <c r="E69" s="11">
        <v>69</v>
      </c>
      <c r="F69" s="11">
        <v>181</v>
      </c>
      <c r="G69" s="11">
        <v>194</v>
      </c>
      <c r="H69" s="11">
        <v>278</v>
      </c>
      <c r="I69" s="11">
        <v>47</v>
      </c>
      <c r="J69" s="11">
        <v>93</v>
      </c>
      <c r="K69" s="11">
        <v>324</v>
      </c>
      <c r="L69" s="11">
        <v>74</v>
      </c>
      <c r="M69" s="11">
        <v>129</v>
      </c>
      <c r="N69" s="11" t="s">
        <v>77</v>
      </c>
      <c r="O69" s="11">
        <v>110</v>
      </c>
    </row>
    <row r="70" spans="3:15" x14ac:dyDescent="0.25">
      <c r="C70" s="10" t="s">
        <v>17</v>
      </c>
      <c r="D70" s="11">
        <v>113</v>
      </c>
      <c r="E70" s="11">
        <v>191</v>
      </c>
      <c r="F70" s="11">
        <v>240</v>
      </c>
      <c r="G70" s="11">
        <v>253</v>
      </c>
      <c r="H70" s="11">
        <v>356</v>
      </c>
      <c r="I70" s="11">
        <v>144</v>
      </c>
      <c r="J70" s="11">
        <v>152</v>
      </c>
      <c r="K70" s="11">
        <v>377</v>
      </c>
      <c r="L70" s="11">
        <v>50</v>
      </c>
      <c r="M70" s="11">
        <v>91</v>
      </c>
      <c r="N70" s="11">
        <v>110</v>
      </c>
      <c r="O70" s="11" t="s">
        <v>77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topLeftCell="A11" zoomScale="91" workbookViewId="0">
      <selection activeCell="G2" sqref="G2"/>
    </sheetView>
  </sheetViews>
  <sheetFormatPr baseColWidth="10" defaultColWidth="10.875" defaultRowHeight="18.75" x14ac:dyDescent="0.25"/>
  <cols>
    <col min="1" max="1" width="21.875" style="1" customWidth="1"/>
    <col min="2" max="2" width="10.875" style="1"/>
    <col min="3" max="3" width="15" style="1" customWidth="1"/>
    <col min="4" max="6" width="10.875" style="1"/>
    <col min="7" max="7" width="14.125" style="1" customWidth="1"/>
    <col min="8" max="8" width="9.375" style="1" customWidth="1"/>
    <col min="9" max="9" width="16.5" style="1" customWidth="1"/>
    <col min="10" max="10" width="12.625" style="1" customWidth="1"/>
    <col min="11" max="11" width="10.875" style="1"/>
    <col min="12" max="12" width="12.875" style="1" customWidth="1"/>
    <col min="13" max="13" width="12.5" style="1" customWidth="1"/>
    <col min="14" max="16384" width="10.875" style="1"/>
  </cols>
  <sheetData>
    <row r="1" spans="1:12" s="7" customFormat="1" x14ac:dyDescent="0.25">
      <c r="A1" s="2" t="s">
        <v>26</v>
      </c>
      <c r="B1" s="7" t="s">
        <v>29</v>
      </c>
      <c r="C1" s="7" t="s">
        <v>27</v>
      </c>
      <c r="D1" s="7" t="s">
        <v>72</v>
      </c>
      <c r="E1" s="7" t="s">
        <v>66</v>
      </c>
      <c r="F1" s="7" t="s">
        <v>67</v>
      </c>
      <c r="G1" s="7" t="s">
        <v>68</v>
      </c>
      <c r="I1" s="8" t="s">
        <v>28</v>
      </c>
      <c r="J1" s="8" t="s">
        <v>66</v>
      </c>
      <c r="K1" s="8" t="s">
        <v>67</v>
      </c>
      <c r="L1" s="8" t="s">
        <v>68</v>
      </c>
    </row>
    <row r="2" spans="1:12" x14ac:dyDescent="0.25">
      <c r="A2" s="1" t="s">
        <v>35</v>
      </c>
      <c r="B2" s="1" t="s">
        <v>30</v>
      </c>
      <c r="C2" s="5">
        <f>(64+156+134+188)</f>
        <v>542</v>
      </c>
      <c r="D2" s="5">
        <f>C2/4</f>
        <v>135.5</v>
      </c>
      <c r="E2" s="5">
        <v>312</v>
      </c>
      <c r="F2" s="5">
        <v>51</v>
      </c>
      <c r="G2" s="5">
        <f>1196/7</f>
        <v>170.85714285714286</v>
      </c>
      <c r="I2" s="1" t="s">
        <v>30</v>
      </c>
      <c r="J2" s="1">
        <v>490</v>
      </c>
      <c r="K2" s="1">
        <v>51</v>
      </c>
      <c r="L2" s="5">
        <f>1775/10</f>
        <v>177.5</v>
      </c>
    </row>
    <row r="3" spans="1:12" x14ac:dyDescent="0.25">
      <c r="A3" s="1" t="s">
        <v>36</v>
      </c>
      <c r="B3" s="1" t="s">
        <v>30</v>
      </c>
      <c r="C3" s="5">
        <f>(312+62+268+270+52)</f>
        <v>964</v>
      </c>
      <c r="D3" s="5">
        <f>C3/5</f>
        <v>192.8</v>
      </c>
      <c r="E3" s="5">
        <v>312</v>
      </c>
      <c r="F3" s="5">
        <v>52</v>
      </c>
      <c r="G3" s="5">
        <f>1398/7</f>
        <v>199.71428571428572</v>
      </c>
      <c r="I3" s="1" t="s">
        <v>73</v>
      </c>
      <c r="J3" s="1">
        <v>476</v>
      </c>
      <c r="K3" s="1">
        <v>52</v>
      </c>
      <c r="L3" s="5">
        <f>2161/10</f>
        <v>216.1</v>
      </c>
    </row>
    <row r="4" spans="1:12" x14ac:dyDescent="0.25">
      <c r="A4" s="1" t="s">
        <v>0</v>
      </c>
      <c r="B4" s="1" t="s">
        <v>30</v>
      </c>
      <c r="C4" s="5">
        <f>(51+20+163+244+221)</f>
        <v>699</v>
      </c>
      <c r="D4" s="5">
        <f>C4/5</f>
        <v>139.80000000000001</v>
      </c>
      <c r="E4" s="5">
        <v>270</v>
      </c>
      <c r="F4" s="5">
        <v>20</v>
      </c>
      <c r="G4" s="5">
        <f>1114/7</f>
        <v>159.14285714285714</v>
      </c>
      <c r="I4" s="1" t="s">
        <v>30</v>
      </c>
      <c r="J4" s="1">
        <v>484</v>
      </c>
      <c r="K4" s="1">
        <v>20</v>
      </c>
      <c r="L4" s="5">
        <f>1998/10</f>
        <v>199.8</v>
      </c>
    </row>
    <row r="5" spans="1:12" x14ac:dyDescent="0.25">
      <c r="A5" s="1" t="s">
        <v>37</v>
      </c>
      <c r="B5" s="1" t="s">
        <v>30</v>
      </c>
      <c r="C5" s="5">
        <f>(93+233+244+291)</f>
        <v>861</v>
      </c>
      <c r="D5" s="5">
        <f>C5/4</f>
        <v>215.25</v>
      </c>
      <c r="E5" s="5">
        <v>291</v>
      </c>
      <c r="F5" s="5">
        <v>62</v>
      </c>
      <c r="G5" s="5">
        <f>1386/7</f>
        <v>198</v>
      </c>
      <c r="I5" s="1" t="s">
        <v>73</v>
      </c>
      <c r="J5" s="1">
        <v>494</v>
      </c>
      <c r="K5" s="1">
        <v>62</v>
      </c>
      <c r="L5" s="5">
        <f>2460/10</f>
        <v>246</v>
      </c>
    </row>
    <row r="6" spans="1:12" x14ac:dyDescent="0.25">
      <c r="A6" s="1" t="s">
        <v>1</v>
      </c>
      <c r="B6" s="1" t="s">
        <v>30</v>
      </c>
      <c r="C6" s="5">
        <f>(272+134+136+163)</f>
        <v>705</v>
      </c>
      <c r="D6" s="5">
        <f>C6/4</f>
        <v>176.25</v>
      </c>
      <c r="E6" s="5">
        <v>272</v>
      </c>
      <c r="F6" s="5">
        <v>110</v>
      </c>
      <c r="G6" s="5">
        <f>1307/7</f>
        <v>186.71428571428572</v>
      </c>
      <c r="I6" s="1" t="s">
        <v>73</v>
      </c>
      <c r="J6" s="1">
        <v>400</v>
      </c>
      <c r="K6" s="1">
        <v>47</v>
      </c>
      <c r="L6" s="5">
        <f>2803/10</f>
        <v>280.3</v>
      </c>
    </row>
    <row r="7" spans="1:12" x14ac:dyDescent="0.25">
      <c r="A7" s="1" t="s">
        <v>2</v>
      </c>
      <c r="B7" s="1" t="s">
        <v>30</v>
      </c>
      <c r="C7" s="5">
        <f>(233+20+129+205+253)</f>
        <v>840</v>
      </c>
      <c r="D7" s="5">
        <f>C7/5</f>
        <v>168</v>
      </c>
      <c r="E7" s="5">
        <v>253</v>
      </c>
      <c r="F7" s="5">
        <v>20</v>
      </c>
      <c r="G7" s="5">
        <f>1040/7</f>
        <v>148.57142857142858</v>
      </c>
      <c r="I7" s="1" t="s">
        <v>30</v>
      </c>
      <c r="J7" s="1">
        <v>466</v>
      </c>
      <c r="K7" s="1">
        <v>20</v>
      </c>
      <c r="L7" s="5">
        <f>2005/10</f>
        <v>200.5</v>
      </c>
    </row>
    <row r="8" spans="1:12" x14ac:dyDescent="0.25">
      <c r="A8" s="1" t="s">
        <v>5</v>
      </c>
      <c r="B8" s="1" t="s">
        <v>30</v>
      </c>
      <c r="C8" s="5">
        <f>(139+110+129+145+181+192)</f>
        <v>896</v>
      </c>
      <c r="D8" s="5">
        <f>C8/6</f>
        <v>149.33333333333334</v>
      </c>
      <c r="E8" s="5">
        <v>192</v>
      </c>
      <c r="F8" s="5">
        <v>110</v>
      </c>
      <c r="G8" s="5">
        <f>1055/7</f>
        <v>150.71428571428572</v>
      </c>
      <c r="I8" s="1" t="s">
        <v>73</v>
      </c>
      <c r="J8" s="1">
        <v>404</v>
      </c>
      <c r="K8" s="1">
        <v>110</v>
      </c>
      <c r="L8" s="5">
        <f>2503/10</f>
        <v>250.3</v>
      </c>
    </row>
    <row r="9" spans="1:12" x14ac:dyDescent="0.25">
      <c r="A9" s="1" t="s">
        <v>6</v>
      </c>
      <c r="B9" s="1" t="s">
        <v>30</v>
      </c>
      <c r="C9" s="5">
        <f>(156+52+224+93)</f>
        <v>525</v>
      </c>
      <c r="D9" s="5">
        <f>C9/4</f>
        <v>131.25</v>
      </c>
      <c r="E9" s="5">
        <v>224</v>
      </c>
      <c r="F9" s="5">
        <v>52</v>
      </c>
      <c r="G9" s="5">
        <f>1061/7</f>
        <v>151.57142857142858</v>
      </c>
      <c r="I9" s="1" t="s">
        <v>73</v>
      </c>
      <c r="J9" s="1">
        <v>432</v>
      </c>
      <c r="K9" s="1">
        <v>52</v>
      </c>
      <c r="L9" s="5">
        <f>2053/10</f>
        <v>205.3</v>
      </c>
    </row>
    <row r="10" spans="1:12" x14ac:dyDescent="0.25">
      <c r="A10" s="1" t="s">
        <v>40</v>
      </c>
      <c r="B10" s="1" t="s">
        <v>31</v>
      </c>
      <c r="C10" s="5">
        <f>447+26+364+288+223</f>
        <v>1348</v>
      </c>
      <c r="D10" s="5">
        <f>C10/5</f>
        <v>269.60000000000002</v>
      </c>
      <c r="E10" s="5">
        <v>447</v>
      </c>
      <c r="F10" s="5">
        <v>26</v>
      </c>
      <c r="G10" s="5">
        <f>1918/8</f>
        <v>239.75</v>
      </c>
      <c r="I10" s="1" t="s">
        <v>31</v>
      </c>
      <c r="J10" s="1">
        <v>364</v>
      </c>
      <c r="K10" s="1">
        <v>26</v>
      </c>
      <c r="L10" s="5">
        <f>1722/10</f>
        <v>172.2</v>
      </c>
    </row>
    <row r="11" spans="1:12" x14ac:dyDescent="0.25">
      <c r="A11" s="1" t="s">
        <v>48</v>
      </c>
      <c r="B11" s="1" t="s">
        <v>31</v>
      </c>
      <c r="C11" s="5">
        <f>320+307+81+294+300</f>
        <v>1302</v>
      </c>
      <c r="D11" s="5">
        <f>C11/5</f>
        <v>260.39999999999998</v>
      </c>
      <c r="E11" s="5">
        <v>320</v>
      </c>
      <c r="F11" s="5">
        <v>81</v>
      </c>
      <c r="G11" s="5">
        <f>1912/8</f>
        <v>239</v>
      </c>
      <c r="I11" s="1" t="s">
        <v>31</v>
      </c>
      <c r="J11" s="1">
        <v>416</v>
      </c>
      <c r="K11" s="1">
        <v>81</v>
      </c>
      <c r="L11" s="5">
        <f>2722/10</f>
        <v>272.2</v>
      </c>
    </row>
    <row r="12" spans="1:12" x14ac:dyDescent="0.25">
      <c r="A12" s="1" t="s">
        <v>11</v>
      </c>
      <c r="B12" s="1" t="s">
        <v>31</v>
      </c>
      <c r="C12" s="5">
        <f>414+190+40+300+255</f>
        <v>1199</v>
      </c>
      <c r="D12" s="5">
        <f>C12/5</f>
        <v>239.8</v>
      </c>
      <c r="E12" s="5">
        <v>414</v>
      </c>
      <c r="F12" s="5">
        <v>40</v>
      </c>
      <c r="G12" s="5">
        <f>1791/8</f>
        <v>223.875</v>
      </c>
      <c r="I12" s="1" t="s">
        <v>31</v>
      </c>
      <c r="J12" s="1">
        <v>357</v>
      </c>
      <c r="K12" s="1">
        <v>37</v>
      </c>
      <c r="L12" s="5">
        <f>1696/10</f>
        <v>169.6</v>
      </c>
    </row>
    <row r="13" spans="1:12" x14ac:dyDescent="0.25">
      <c r="A13" s="1" t="s">
        <v>12</v>
      </c>
      <c r="B13" s="1" t="s">
        <v>31</v>
      </c>
      <c r="C13" s="5">
        <f>248+184+0+264+84+190</f>
        <v>970</v>
      </c>
      <c r="D13" s="5">
        <f>C13/6</f>
        <v>161.66666666666666</v>
      </c>
      <c r="E13" s="5">
        <v>264</v>
      </c>
      <c r="F13" s="5">
        <v>84</v>
      </c>
      <c r="G13" s="5">
        <f>1420/8</f>
        <v>177.5</v>
      </c>
      <c r="I13" s="1" t="s">
        <v>31</v>
      </c>
      <c r="J13" s="1">
        <v>266</v>
      </c>
      <c r="K13" s="1">
        <v>0</v>
      </c>
      <c r="L13" s="5">
        <f>1882/10</f>
        <v>188.2</v>
      </c>
    </row>
    <row r="14" spans="1:12" x14ac:dyDescent="0.25">
      <c r="A14" s="1" t="s">
        <v>13</v>
      </c>
      <c r="B14" s="1" t="s">
        <v>31</v>
      </c>
      <c r="C14" s="5">
        <f>0+223+184+84+190+248</f>
        <v>929</v>
      </c>
      <c r="D14" s="5">
        <f>C14/6</f>
        <v>154.83333333333334</v>
      </c>
      <c r="E14" s="5">
        <v>264</v>
      </c>
      <c r="F14" s="5">
        <v>84</v>
      </c>
      <c r="G14" s="5">
        <f>1420/8</f>
        <v>177.5</v>
      </c>
      <c r="I14" s="1" t="s">
        <v>31</v>
      </c>
      <c r="J14" s="1">
        <v>266</v>
      </c>
      <c r="K14" s="1">
        <v>0</v>
      </c>
      <c r="L14" s="5">
        <f>1882/10</f>
        <v>188.2</v>
      </c>
    </row>
    <row r="15" spans="1:12" x14ac:dyDescent="0.25">
      <c r="A15" s="1" t="s">
        <v>43</v>
      </c>
      <c r="B15" s="1" t="s">
        <v>31</v>
      </c>
      <c r="C15" s="5">
        <f>449+447+320+190+402</f>
        <v>1808</v>
      </c>
      <c r="D15" s="5">
        <f>C15/5</f>
        <v>361.6</v>
      </c>
      <c r="E15" s="5">
        <v>449</v>
      </c>
      <c r="F15" s="5">
        <v>190</v>
      </c>
      <c r="G15" s="5">
        <f>2718/8</f>
        <v>339.75</v>
      </c>
      <c r="I15" s="1" t="s">
        <v>73</v>
      </c>
      <c r="J15" s="1">
        <v>494</v>
      </c>
      <c r="K15" s="1">
        <v>364</v>
      </c>
      <c r="L15" s="5">
        <f>4110/10</f>
        <v>411</v>
      </c>
    </row>
    <row r="16" spans="1:12" x14ac:dyDescent="0.25">
      <c r="A16" s="1" t="s">
        <v>10</v>
      </c>
      <c r="B16" s="1" t="s">
        <v>31</v>
      </c>
      <c r="C16" s="5">
        <f>242+288+255+323+190</f>
        <v>1298</v>
      </c>
      <c r="D16" s="5">
        <f>C16/5</f>
        <v>259.60000000000002</v>
      </c>
      <c r="E16" s="5">
        <v>323</v>
      </c>
      <c r="F16" s="5">
        <v>84</v>
      </c>
      <c r="G16" s="5">
        <f>1758/8</f>
        <v>219.75</v>
      </c>
      <c r="I16" s="1" t="s">
        <v>31</v>
      </c>
      <c r="J16" s="1">
        <v>331</v>
      </c>
      <c r="K16" s="1">
        <v>84</v>
      </c>
      <c r="L16" s="5">
        <f>2479/10</f>
        <v>247.9</v>
      </c>
    </row>
    <row r="17" spans="1:12" x14ac:dyDescent="0.25">
      <c r="A17" s="1" t="s">
        <v>7</v>
      </c>
      <c r="B17" s="1" t="s">
        <v>31</v>
      </c>
      <c r="C17" s="5">
        <f>292+26+227+45+351+227</f>
        <v>1168</v>
      </c>
      <c r="D17" s="5">
        <f>C17/6</f>
        <v>194.66666666666666</v>
      </c>
      <c r="E17" s="5">
        <v>449</v>
      </c>
      <c r="F17" s="5">
        <v>26</v>
      </c>
      <c r="G17" s="5">
        <f>1911/8</f>
        <v>238.875</v>
      </c>
      <c r="I17" s="1" t="s">
        <v>31</v>
      </c>
      <c r="J17" s="1">
        <v>351</v>
      </c>
      <c r="K17" s="1">
        <v>45</v>
      </c>
      <c r="L17" s="5">
        <f>1867/10</f>
        <v>186.7</v>
      </c>
    </row>
    <row r="18" spans="1:12" x14ac:dyDescent="0.25">
      <c r="A18" s="1" t="s">
        <v>49</v>
      </c>
      <c r="B18" s="1" t="s">
        <v>31</v>
      </c>
      <c r="C18" s="5">
        <f>81+264+351+357+264</f>
        <v>1317</v>
      </c>
      <c r="D18" s="5">
        <f>C18/5</f>
        <v>263.39999999999998</v>
      </c>
      <c r="E18" s="5">
        <v>364</v>
      </c>
      <c r="F18" s="5">
        <v>81</v>
      </c>
      <c r="G18" s="5">
        <f>2406/8</f>
        <v>300.75</v>
      </c>
      <c r="I18" s="1" t="s">
        <v>31</v>
      </c>
      <c r="J18" s="1">
        <v>497</v>
      </c>
      <c r="K18" s="1">
        <v>81</v>
      </c>
      <c r="L18" s="5">
        <f>3089/10</f>
        <v>308.89999999999998</v>
      </c>
    </row>
    <row r="19" spans="1:12" x14ac:dyDescent="0.25">
      <c r="A19" s="1" t="s">
        <v>50</v>
      </c>
      <c r="B19" s="1" t="s">
        <v>32</v>
      </c>
      <c r="C19" s="5">
        <f>101+85+30+61</f>
        <v>277</v>
      </c>
      <c r="D19" s="5">
        <f>C19/4</f>
        <v>69.25</v>
      </c>
      <c r="E19" s="5">
        <v>111</v>
      </c>
      <c r="F19" s="5">
        <v>30</v>
      </c>
      <c r="G19" s="5">
        <f>426/6</f>
        <v>71</v>
      </c>
      <c r="I19" s="1" t="s">
        <v>73</v>
      </c>
      <c r="J19" s="1">
        <v>420</v>
      </c>
      <c r="K19" s="1">
        <v>30</v>
      </c>
      <c r="L19" s="5">
        <f>2161/10</f>
        <v>216.1</v>
      </c>
    </row>
    <row r="20" spans="1:12" x14ac:dyDescent="0.25">
      <c r="A20" s="1" t="s">
        <v>44</v>
      </c>
      <c r="B20" s="1" t="s">
        <v>32</v>
      </c>
      <c r="C20" s="5">
        <f>144+50+74+74</f>
        <v>342</v>
      </c>
      <c r="D20" s="5">
        <f>C20/4</f>
        <v>85.5</v>
      </c>
      <c r="E20" s="5">
        <v>144</v>
      </c>
      <c r="F20" s="5">
        <v>38</v>
      </c>
      <c r="G20" s="5">
        <f>464/6</f>
        <v>77.333333333333329</v>
      </c>
      <c r="I20" s="1" t="s">
        <v>31</v>
      </c>
      <c r="J20" s="1">
        <v>467</v>
      </c>
      <c r="K20" s="1">
        <v>50</v>
      </c>
      <c r="L20" s="5">
        <f>2156/10</f>
        <v>215.6</v>
      </c>
    </row>
    <row r="21" spans="1:12" x14ac:dyDescent="0.25">
      <c r="A21" s="1" t="s">
        <v>18</v>
      </c>
      <c r="B21" s="1" t="s">
        <v>32</v>
      </c>
      <c r="C21" s="5">
        <f>74+110+210+74</f>
        <v>468</v>
      </c>
      <c r="D21" s="5">
        <f>C21/4</f>
        <v>117</v>
      </c>
      <c r="E21" s="5">
        <v>210</v>
      </c>
      <c r="F21" s="5">
        <v>74</v>
      </c>
      <c r="G21" s="5">
        <f>784/6</f>
        <v>130.66666666666666</v>
      </c>
      <c r="I21" s="1" t="s">
        <v>31</v>
      </c>
      <c r="J21" s="1">
        <v>385</v>
      </c>
      <c r="K21" s="1">
        <v>42</v>
      </c>
      <c r="L21" s="5">
        <f>1733/10</f>
        <v>173.3</v>
      </c>
    </row>
    <row r="22" spans="1:12" x14ac:dyDescent="0.25">
      <c r="A22" s="1" t="s">
        <v>16</v>
      </c>
      <c r="B22" s="1" t="s">
        <v>32</v>
      </c>
      <c r="C22" s="5">
        <f>64+31+30+30+129</f>
        <v>284</v>
      </c>
      <c r="D22" s="5">
        <f>C22/5</f>
        <v>56.8</v>
      </c>
      <c r="E22" s="5">
        <v>129</v>
      </c>
      <c r="F22" s="5">
        <v>30</v>
      </c>
      <c r="G22" s="5">
        <f>448/6</f>
        <v>74.666666666666671</v>
      </c>
      <c r="I22" s="1" t="s">
        <v>73</v>
      </c>
      <c r="J22" s="1">
        <v>401</v>
      </c>
      <c r="K22" s="1">
        <v>30</v>
      </c>
      <c r="L22" s="5">
        <f>2389/10</f>
        <v>238.9</v>
      </c>
    </row>
    <row r="23" spans="1:12" x14ac:dyDescent="0.25">
      <c r="A23" s="1" t="s">
        <v>17</v>
      </c>
      <c r="B23" s="1" t="s">
        <v>32</v>
      </c>
      <c r="C23" s="5">
        <f>103+85+110+91+105</f>
        <v>494</v>
      </c>
      <c r="D23" s="5">
        <f>C23/5</f>
        <v>98.8</v>
      </c>
      <c r="E23" s="5">
        <v>110</v>
      </c>
      <c r="F23" s="5">
        <v>50</v>
      </c>
      <c r="G23" s="5">
        <f>544/6</f>
        <v>90.666666666666671</v>
      </c>
      <c r="I23" s="1" t="s">
        <v>31</v>
      </c>
      <c r="J23" s="1">
        <v>497</v>
      </c>
      <c r="K23" s="1">
        <v>50</v>
      </c>
      <c r="L23" s="5">
        <f>2414/10</f>
        <v>241.4</v>
      </c>
    </row>
    <row r="24" spans="1:12" x14ac:dyDescent="0.25">
      <c r="A24" s="1" t="s">
        <v>51</v>
      </c>
      <c r="B24" s="1" t="s">
        <v>32</v>
      </c>
      <c r="C24" s="5">
        <f>117+117+111+144</f>
        <v>489</v>
      </c>
      <c r="D24" s="5">
        <f>C24/4</f>
        <v>122.25</v>
      </c>
      <c r="E24" s="5">
        <v>210</v>
      </c>
      <c r="F24" s="5">
        <v>103</v>
      </c>
      <c r="G24" s="5">
        <f>788/6</f>
        <v>131.33333333333334</v>
      </c>
      <c r="I24" s="1" t="s">
        <v>73</v>
      </c>
      <c r="J24" s="1">
        <v>415</v>
      </c>
      <c r="K24" s="1">
        <v>103</v>
      </c>
      <c r="L24" s="5">
        <f>2362/10</f>
        <v>236.2</v>
      </c>
    </row>
    <row r="25" spans="1:12" x14ac:dyDescent="0.25">
      <c r="A25" s="1" t="s">
        <v>52</v>
      </c>
      <c r="B25" s="1" t="s">
        <v>32</v>
      </c>
      <c r="C25" s="5">
        <f>117+94+61+117</f>
        <v>389</v>
      </c>
      <c r="D25" s="5">
        <f>C25/4</f>
        <v>97.25</v>
      </c>
      <c r="E25" s="5">
        <v>160</v>
      </c>
      <c r="F25" s="5">
        <v>61</v>
      </c>
      <c r="G25" s="5">
        <f>568/6</f>
        <v>94.666666666666671</v>
      </c>
      <c r="I25" s="1" t="s">
        <v>73</v>
      </c>
      <c r="J25" s="1">
        <v>399</v>
      </c>
      <c r="K25" s="1">
        <v>31</v>
      </c>
      <c r="L25" s="5">
        <f>2452/10</f>
        <v>245.2</v>
      </c>
    </row>
    <row r="26" spans="1:12" x14ac:dyDescent="0.25">
      <c r="A26" s="1" t="s">
        <v>69</v>
      </c>
      <c r="B26" s="1" t="s">
        <v>33</v>
      </c>
      <c r="C26" s="5">
        <f>(348+158+72+32+83)</f>
        <v>693</v>
      </c>
      <c r="D26" s="5">
        <f>C26/6</f>
        <v>115.5</v>
      </c>
      <c r="E26" s="5">
        <v>362</v>
      </c>
      <c r="F26" s="5">
        <v>0</v>
      </c>
      <c r="G26" s="5">
        <f>1086/8</f>
        <v>135.75</v>
      </c>
      <c r="I26" s="1" t="s">
        <v>30</v>
      </c>
      <c r="J26" s="1">
        <v>362</v>
      </c>
      <c r="K26" s="1">
        <v>0</v>
      </c>
      <c r="L26" s="5">
        <f>1285/10</f>
        <v>128.5</v>
      </c>
    </row>
    <row r="27" spans="1:12" x14ac:dyDescent="0.25">
      <c r="A27" s="1" t="s">
        <v>70</v>
      </c>
      <c r="B27" s="1" t="s">
        <v>33</v>
      </c>
      <c r="C27" s="5">
        <f>(72+158+32+348+362)</f>
        <v>972</v>
      </c>
      <c r="D27" s="5">
        <f>C27/6</f>
        <v>162</v>
      </c>
      <c r="E27" s="5">
        <v>362</v>
      </c>
      <c r="F27" s="5">
        <v>0</v>
      </c>
      <c r="G27" s="5">
        <f>1086/8</f>
        <v>135.75</v>
      </c>
      <c r="I27" s="1" t="s">
        <v>30</v>
      </c>
      <c r="J27" s="1">
        <v>362</v>
      </c>
      <c r="K27" s="1">
        <v>0</v>
      </c>
      <c r="L27" s="5">
        <f>1285/10</f>
        <v>128.5</v>
      </c>
    </row>
    <row r="28" spans="1:12" x14ac:dyDescent="0.25">
      <c r="A28" s="1" t="s">
        <v>24</v>
      </c>
      <c r="B28" s="1" t="s">
        <v>33</v>
      </c>
      <c r="C28" s="5">
        <f>(348+313+352+349+25)</f>
        <v>1387</v>
      </c>
      <c r="D28" s="5">
        <f>C28/6</f>
        <v>231.16666666666666</v>
      </c>
      <c r="E28" s="5">
        <v>352</v>
      </c>
      <c r="F28" s="5">
        <v>25</v>
      </c>
      <c r="G28" s="5">
        <f>2425/8</f>
        <v>303.125</v>
      </c>
      <c r="I28" s="1" t="s">
        <v>30</v>
      </c>
      <c r="J28" s="1">
        <v>451</v>
      </c>
      <c r="K28" s="1">
        <v>25</v>
      </c>
      <c r="L28" s="5">
        <f>3421/10</f>
        <v>342.1</v>
      </c>
    </row>
    <row r="29" spans="1:12" x14ac:dyDescent="0.25">
      <c r="A29" s="1" t="s">
        <v>19</v>
      </c>
      <c r="B29" s="1" t="s">
        <v>33</v>
      </c>
      <c r="C29" s="5">
        <f>(351+112+120+110+365)</f>
        <v>1058</v>
      </c>
      <c r="D29" s="5">
        <f>C29/5</f>
        <v>211.6</v>
      </c>
      <c r="E29" s="5">
        <v>365</v>
      </c>
      <c r="F29" s="5">
        <v>32</v>
      </c>
      <c r="G29" s="5">
        <f>1156/8</f>
        <v>144.5</v>
      </c>
      <c r="I29" s="1" t="s">
        <v>30</v>
      </c>
      <c r="J29" s="1">
        <v>365</v>
      </c>
      <c r="K29" s="1">
        <v>32</v>
      </c>
      <c r="L29" s="5">
        <f>1387/10</f>
        <v>138.69999999999999</v>
      </c>
    </row>
    <row r="30" spans="1:12" x14ac:dyDescent="0.25">
      <c r="A30" s="1" t="s">
        <v>23</v>
      </c>
      <c r="B30" s="1" t="s">
        <v>33</v>
      </c>
      <c r="C30" s="5">
        <f>(10+159+34+78+363)</f>
        <v>644</v>
      </c>
      <c r="D30" s="5">
        <f>C30/6</f>
        <v>107.33333333333333</v>
      </c>
      <c r="E30" s="5">
        <v>363</v>
      </c>
      <c r="F30" s="5">
        <v>5</v>
      </c>
      <c r="G30" s="5">
        <f>1062/8</f>
        <v>132.75</v>
      </c>
      <c r="I30" s="1" t="s">
        <v>30</v>
      </c>
      <c r="J30" s="1">
        <v>490</v>
      </c>
      <c r="K30" s="1">
        <v>25</v>
      </c>
      <c r="L30" s="5">
        <f>3657/10</f>
        <v>365.7</v>
      </c>
    </row>
    <row r="31" spans="1:12" x14ac:dyDescent="0.25">
      <c r="A31" s="1" t="s">
        <v>20</v>
      </c>
      <c r="B31" s="1" t="s">
        <v>33</v>
      </c>
      <c r="C31" s="5">
        <f>(90+159+112+332+169)</f>
        <v>862</v>
      </c>
      <c r="D31" s="5">
        <f>C31/5</f>
        <v>172.4</v>
      </c>
      <c r="E31" s="5">
        <v>332</v>
      </c>
      <c r="F31" s="5">
        <v>112</v>
      </c>
      <c r="G31" s="5">
        <f>1581/8</f>
        <v>197.625</v>
      </c>
      <c r="I31" s="1" t="s">
        <v>73</v>
      </c>
      <c r="J31" s="1">
        <v>420</v>
      </c>
      <c r="K31" s="1">
        <v>47</v>
      </c>
      <c r="L31" s="5">
        <f>3070/10</f>
        <v>307</v>
      </c>
    </row>
    <row r="32" spans="1:12" x14ac:dyDescent="0.25">
      <c r="A32" s="1" t="s">
        <v>47</v>
      </c>
      <c r="B32" s="1" t="s">
        <v>33</v>
      </c>
      <c r="C32" s="5">
        <f>(83+110+83+15+339)</f>
        <v>630</v>
      </c>
      <c r="D32" s="5">
        <f>C32/5</f>
        <v>126</v>
      </c>
      <c r="E32" s="5">
        <v>364</v>
      </c>
      <c r="F32" s="5">
        <v>15</v>
      </c>
      <c r="G32" s="5">
        <f>1293/8</f>
        <v>161.625</v>
      </c>
      <c r="I32" s="1" t="s">
        <v>30</v>
      </c>
      <c r="J32" s="1">
        <v>363</v>
      </c>
      <c r="K32" s="1">
        <v>5</v>
      </c>
      <c r="L32" s="5">
        <f>1313/10</f>
        <v>131.30000000000001</v>
      </c>
    </row>
    <row r="33" spans="1:14" x14ac:dyDescent="0.25">
      <c r="A33" s="1" t="s">
        <v>53</v>
      </c>
      <c r="B33" s="1" t="s">
        <v>33</v>
      </c>
      <c r="C33" s="5">
        <f>(25+363+332+362+364)</f>
        <v>1446</v>
      </c>
      <c r="D33" s="5">
        <f>C33/5</f>
        <v>289.2</v>
      </c>
      <c r="E33" s="5">
        <v>376</v>
      </c>
      <c r="F33" s="5">
        <v>25</v>
      </c>
      <c r="G33" s="5">
        <f>2549/8</f>
        <v>318.625</v>
      </c>
      <c r="I33" s="1" t="s">
        <v>30</v>
      </c>
      <c r="J33" s="1">
        <v>364</v>
      </c>
      <c r="K33" s="1">
        <v>15</v>
      </c>
      <c r="L33" s="5">
        <f>1838/10</f>
        <v>183.8</v>
      </c>
    </row>
    <row r="34" spans="1:14" x14ac:dyDescent="0.25">
      <c r="A34" s="1" t="s">
        <v>22</v>
      </c>
      <c r="B34" s="1" t="s">
        <v>33</v>
      </c>
      <c r="C34" s="5">
        <f>(352+69+15+120+376)</f>
        <v>932</v>
      </c>
      <c r="D34" s="5">
        <f>C34/5</f>
        <v>186.4</v>
      </c>
      <c r="E34" s="5">
        <v>376</v>
      </c>
      <c r="F34" s="5">
        <v>15</v>
      </c>
      <c r="G34" s="5">
        <f>1256/8</f>
        <v>157</v>
      </c>
      <c r="I34" s="1" t="s">
        <v>30</v>
      </c>
      <c r="J34" s="1">
        <v>376</v>
      </c>
      <c r="K34" s="1">
        <v>15</v>
      </c>
      <c r="L34" s="5">
        <f>1714/10</f>
        <v>171.4</v>
      </c>
    </row>
    <row r="36" spans="1:14" x14ac:dyDescent="0.25">
      <c r="A36" s="3" t="s">
        <v>64</v>
      </c>
      <c r="B36" s="3" t="s">
        <v>65</v>
      </c>
      <c r="C36" s="6">
        <f>SUM(C2:C34)</f>
        <v>28738</v>
      </c>
      <c r="D36" s="6">
        <f t="shared" ref="D36:L36" si="0">SUM(D2:D34)</f>
        <v>5722.2</v>
      </c>
      <c r="E36" s="6">
        <f t="shared" si="0"/>
        <v>9746</v>
      </c>
      <c r="F36" s="6">
        <f t="shared" si="0"/>
        <v>1788</v>
      </c>
      <c r="G36" s="6">
        <f t="shared" si="0"/>
        <v>5879.1190476190477</v>
      </c>
      <c r="H36" s="6"/>
      <c r="I36" s="6" t="s">
        <v>74</v>
      </c>
      <c r="J36" s="6">
        <f t="shared" si="0"/>
        <v>13525</v>
      </c>
      <c r="K36" s="6">
        <f t="shared" si="0"/>
        <v>1632</v>
      </c>
      <c r="L36" s="6">
        <f t="shared" si="0"/>
        <v>7384.3999999999987</v>
      </c>
    </row>
    <row r="39" spans="1:14" s="7" customFormat="1" x14ac:dyDescent="0.25">
      <c r="A39" s="7" t="s">
        <v>75</v>
      </c>
      <c r="C39" s="9" t="s">
        <v>30</v>
      </c>
      <c r="D39" s="10" t="s">
        <v>76</v>
      </c>
      <c r="E39" s="10" t="s">
        <v>0</v>
      </c>
      <c r="F39" s="10" t="s">
        <v>2</v>
      </c>
      <c r="G39" s="10" t="s">
        <v>71</v>
      </c>
      <c r="H39" s="10" t="s">
        <v>24</v>
      </c>
      <c r="I39" s="10" t="s">
        <v>19</v>
      </c>
      <c r="J39" s="10" t="s">
        <v>53</v>
      </c>
      <c r="K39" s="10" t="s">
        <v>23</v>
      </c>
      <c r="L39" s="10" t="s">
        <v>47</v>
      </c>
      <c r="M39" s="10" t="s">
        <v>22</v>
      </c>
      <c r="N39" s="10"/>
    </row>
    <row r="40" spans="1:14" x14ac:dyDescent="0.25">
      <c r="C40" s="10" t="s">
        <v>76</v>
      </c>
      <c r="D40" s="11" t="s">
        <v>77</v>
      </c>
      <c r="E40" s="11">
        <v>51</v>
      </c>
      <c r="F40" s="11">
        <v>64</v>
      </c>
      <c r="G40" s="11">
        <v>82</v>
      </c>
      <c r="H40" s="11">
        <v>419</v>
      </c>
      <c r="I40" s="11">
        <v>97</v>
      </c>
      <c r="J40" s="11">
        <v>490</v>
      </c>
      <c r="K40" s="11">
        <v>111</v>
      </c>
      <c r="L40" s="11">
        <v>184</v>
      </c>
      <c r="M40" s="11">
        <v>195</v>
      </c>
      <c r="N40" s="11"/>
    </row>
    <row r="41" spans="1:14" x14ac:dyDescent="0.25">
      <c r="C41" s="10" t="s">
        <v>0</v>
      </c>
      <c r="D41" s="11">
        <v>51</v>
      </c>
      <c r="E41" s="11" t="s">
        <v>77</v>
      </c>
      <c r="F41" s="11">
        <v>20</v>
      </c>
      <c r="G41" s="11">
        <v>140</v>
      </c>
      <c r="H41" s="11">
        <v>451</v>
      </c>
      <c r="I41" s="11">
        <v>129</v>
      </c>
      <c r="J41" s="11">
        <v>484</v>
      </c>
      <c r="K41" s="11">
        <v>141</v>
      </c>
      <c r="L41" s="11">
        <v>216</v>
      </c>
      <c r="M41" s="11">
        <v>226</v>
      </c>
      <c r="N41" s="11"/>
    </row>
    <row r="42" spans="1:14" x14ac:dyDescent="0.25">
      <c r="C42" s="10" t="s">
        <v>2</v>
      </c>
      <c r="D42" s="11">
        <v>64</v>
      </c>
      <c r="E42" s="11">
        <v>20</v>
      </c>
      <c r="F42" s="11" t="s">
        <v>77</v>
      </c>
      <c r="G42" s="11">
        <v>135</v>
      </c>
      <c r="H42" s="11">
        <v>439</v>
      </c>
      <c r="I42" s="11">
        <v>117</v>
      </c>
      <c r="J42" s="11">
        <v>466</v>
      </c>
      <c r="K42" s="11">
        <v>158</v>
      </c>
      <c r="L42" s="11">
        <v>254</v>
      </c>
      <c r="M42" s="11">
        <v>217</v>
      </c>
      <c r="N42" s="11"/>
    </row>
    <row r="43" spans="1:14" x14ac:dyDescent="0.25">
      <c r="C43" s="10" t="s">
        <v>71</v>
      </c>
      <c r="D43" s="11">
        <v>82</v>
      </c>
      <c r="E43" s="11">
        <v>140</v>
      </c>
      <c r="F43" s="11">
        <v>135</v>
      </c>
      <c r="G43" s="11" t="s">
        <v>77</v>
      </c>
      <c r="H43" s="11">
        <v>348</v>
      </c>
      <c r="I43" s="11">
        <v>32</v>
      </c>
      <c r="J43" s="11">
        <v>362</v>
      </c>
      <c r="K43" s="11">
        <v>5</v>
      </c>
      <c r="L43" s="11">
        <v>109</v>
      </c>
      <c r="M43" s="11">
        <v>72</v>
      </c>
      <c r="N43" s="11"/>
    </row>
    <row r="44" spans="1:14" x14ac:dyDescent="0.25">
      <c r="C44" s="10" t="s">
        <v>24</v>
      </c>
      <c r="D44" s="11">
        <v>419</v>
      </c>
      <c r="E44" s="11">
        <v>451</v>
      </c>
      <c r="F44" s="11">
        <v>439</v>
      </c>
      <c r="G44" s="11">
        <v>348</v>
      </c>
      <c r="H44" s="11" t="s">
        <v>77</v>
      </c>
      <c r="I44" s="11">
        <v>351</v>
      </c>
      <c r="J44" s="11">
        <v>25</v>
      </c>
      <c r="K44" s="11">
        <v>349</v>
      </c>
      <c r="L44" s="11">
        <v>339</v>
      </c>
      <c r="M44" s="11">
        <v>352</v>
      </c>
      <c r="N44" s="11"/>
    </row>
    <row r="45" spans="1:14" x14ac:dyDescent="0.25">
      <c r="C45" s="10" t="s">
        <v>19</v>
      </c>
      <c r="D45" s="11">
        <v>97</v>
      </c>
      <c r="E45" s="11">
        <v>129</v>
      </c>
      <c r="F45" s="11">
        <v>117</v>
      </c>
      <c r="G45" s="11">
        <v>32</v>
      </c>
      <c r="H45" s="11">
        <v>351</v>
      </c>
      <c r="I45" s="11" t="s">
        <v>77</v>
      </c>
      <c r="J45" s="11">
        <v>365</v>
      </c>
      <c r="K45" s="11">
        <v>34</v>
      </c>
      <c r="L45" s="11">
        <v>170</v>
      </c>
      <c r="M45" s="11">
        <v>120</v>
      </c>
      <c r="N45" s="11"/>
    </row>
    <row r="46" spans="1:14" x14ac:dyDescent="0.25">
      <c r="C46" s="10" t="s">
        <v>53</v>
      </c>
      <c r="D46" s="11">
        <v>490</v>
      </c>
      <c r="E46" s="11">
        <v>484</v>
      </c>
      <c r="F46" s="11">
        <v>466</v>
      </c>
      <c r="G46" s="11">
        <v>362</v>
      </c>
      <c r="H46" s="11">
        <v>25</v>
      </c>
      <c r="I46" s="11">
        <v>365</v>
      </c>
      <c r="J46" s="11" t="s">
        <v>77</v>
      </c>
      <c r="K46" s="11">
        <v>363</v>
      </c>
      <c r="L46" s="11">
        <v>364</v>
      </c>
      <c r="M46" s="11">
        <v>376</v>
      </c>
      <c r="N46" s="11"/>
    </row>
    <row r="47" spans="1:14" x14ac:dyDescent="0.25">
      <c r="C47" s="10" t="s">
        <v>23</v>
      </c>
      <c r="D47" s="11">
        <v>111</v>
      </c>
      <c r="E47" s="11">
        <v>141</v>
      </c>
      <c r="F47" s="11">
        <v>158</v>
      </c>
      <c r="G47" s="11">
        <v>5</v>
      </c>
      <c r="H47" s="11">
        <v>349</v>
      </c>
      <c r="I47" s="11">
        <v>34</v>
      </c>
      <c r="J47" s="11">
        <v>363</v>
      </c>
      <c r="K47" s="11" t="s">
        <v>77</v>
      </c>
      <c r="L47" s="11">
        <v>78</v>
      </c>
      <c r="M47" s="11">
        <v>69</v>
      </c>
      <c r="N47" s="11"/>
    </row>
    <row r="48" spans="1:14" x14ac:dyDescent="0.25">
      <c r="C48" s="10" t="s">
        <v>47</v>
      </c>
      <c r="D48" s="11">
        <v>184</v>
      </c>
      <c r="E48" s="11">
        <v>216</v>
      </c>
      <c r="F48" s="11">
        <v>254</v>
      </c>
      <c r="G48" s="11">
        <v>109</v>
      </c>
      <c r="H48" s="11">
        <v>339</v>
      </c>
      <c r="I48" s="11">
        <v>110</v>
      </c>
      <c r="J48" s="11">
        <v>364</v>
      </c>
      <c r="K48" s="11">
        <v>78</v>
      </c>
      <c r="L48" s="11" t="s">
        <v>77</v>
      </c>
      <c r="M48" s="11">
        <v>15</v>
      </c>
      <c r="N48" s="11"/>
    </row>
    <row r="49" spans="3:14" x14ac:dyDescent="0.25">
      <c r="C49" s="10" t="s">
        <v>22</v>
      </c>
      <c r="D49" s="11">
        <v>195</v>
      </c>
      <c r="E49" s="11">
        <v>226</v>
      </c>
      <c r="F49" s="11">
        <v>217</v>
      </c>
      <c r="G49" s="11">
        <v>72</v>
      </c>
      <c r="H49" s="11">
        <v>352</v>
      </c>
      <c r="I49" s="11">
        <v>120</v>
      </c>
      <c r="J49" s="11">
        <v>376</v>
      </c>
      <c r="K49" s="11">
        <v>69</v>
      </c>
      <c r="L49" s="11">
        <v>15</v>
      </c>
      <c r="M49" s="11" t="s">
        <v>77</v>
      </c>
      <c r="N49" s="11"/>
    </row>
    <row r="50" spans="3:14" x14ac:dyDescent="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s="7" customFormat="1" x14ac:dyDescent="0.25">
      <c r="C51" s="9" t="s">
        <v>73</v>
      </c>
      <c r="D51" s="10" t="s">
        <v>36</v>
      </c>
      <c r="E51" s="10" t="s">
        <v>37</v>
      </c>
      <c r="F51" s="10" t="s">
        <v>1</v>
      </c>
      <c r="G51" s="10" t="s">
        <v>5</v>
      </c>
      <c r="H51" s="10" t="s">
        <v>80</v>
      </c>
      <c r="I51" s="10" t="s">
        <v>20</v>
      </c>
      <c r="J51" s="10" t="s">
        <v>50</v>
      </c>
      <c r="K51" s="10" t="s">
        <v>16</v>
      </c>
      <c r="L51" s="10" t="s">
        <v>51</v>
      </c>
      <c r="M51" s="10" t="s">
        <v>52</v>
      </c>
      <c r="N51" s="10" t="s">
        <v>78</v>
      </c>
    </row>
    <row r="52" spans="3:14" x14ac:dyDescent="0.25">
      <c r="C52" s="10" t="s">
        <v>36</v>
      </c>
      <c r="D52" s="11" t="s">
        <v>77</v>
      </c>
      <c r="E52" s="11">
        <v>62</v>
      </c>
      <c r="F52" s="11">
        <v>268</v>
      </c>
      <c r="G52" s="11">
        <v>181</v>
      </c>
      <c r="H52" s="11">
        <v>52</v>
      </c>
      <c r="I52" s="11">
        <v>300</v>
      </c>
      <c r="J52" s="11">
        <v>226</v>
      </c>
      <c r="K52" s="11">
        <v>221</v>
      </c>
      <c r="L52" s="11">
        <v>142</v>
      </c>
      <c r="M52" s="11">
        <v>233</v>
      </c>
      <c r="N52" s="11">
        <v>476</v>
      </c>
    </row>
    <row r="53" spans="3:14" x14ac:dyDescent="0.25">
      <c r="C53" s="10" t="s">
        <v>37</v>
      </c>
      <c r="D53" s="11">
        <v>62</v>
      </c>
      <c r="E53" s="11" t="s">
        <v>77</v>
      </c>
      <c r="F53" s="11">
        <v>272</v>
      </c>
      <c r="G53" s="11">
        <v>192</v>
      </c>
      <c r="H53" s="11">
        <v>93</v>
      </c>
      <c r="I53" s="11">
        <v>304</v>
      </c>
      <c r="J53" s="11">
        <v>281</v>
      </c>
      <c r="K53" s="11">
        <v>277</v>
      </c>
      <c r="L53" s="11">
        <v>197</v>
      </c>
      <c r="M53" s="11">
        <v>288</v>
      </c>
      <c r="N53" s="11">
        <v>494</v>
      </c>
    </row>
    <row r="54" spans="3:14" x14ac:dyDescent="0.25">
      <c r="C54" s="10" t="s">
        <v>1</v>
      </c>
      <c r="D54" s="11">
        <v>268</v>
      </c>
      <c r="E54" s="11">
        <v>272</v>
      </c>
      <c r="F54" s="11" t="s">
        <v>77</v>
      </c>
      <c r="G54" s="11">
        <v>110</v>
      </c>
      <c r="H54" s="11">
        <v>224</v>
      </c>
      <c r="I54" s="11">
        <v>47</v>
      </c>
      <c r="J54" s="11">
        <v>385</v>
      </c>
      <c r="K54" s="11">
        <v>369</v>
      </c>
      <c r="L54" s="11">
        <v>400</v>
      </c>
      <c r="M54" s="11">
        <v>364</v>
      </c>
      <c r="N54" s="11">
        <v>364</v>
      </c>
    </row>
    <row r="55" spans="3:14" x14ac:dyDescent="0.25">
      <c r="C55" s="10" t="s">
        <v>5</v>
      </c>
      <c r="D55" s="11">
        <v>181</v>
      </c>
      <c r="E55" s="11">
        <v>192</v>
      </c>
      <c r="F55" s="11">
        <v>110</v>
      </c>
      <c r="G55" s="11" t="s">
        <v>77</v>
      </c>
      <c r="H55" s="11">
        <v>110</v>
      </c>
      <c r="I55" s="11">
        <v>138</v>
      </c>
      <c r="J55" s="11">
        <v>364</v>
      </c>
      <c r="K55" s="11">
        <v>345</v>
      </c>
      <c r="L55" s="11">
        <v>316</v>
      </c>
      <c r="M55" s="11">
        <v>33</v>
      </c>
      <c r="N55" s="11">
        <v>404</v>
      </c>
    </row>
    <row r="56" spans="3:14" x14ac:dyDescent="0.25">
      <c r="C56" s="10" t="s">
        <v>80</v>
      </c>
      <c r="D56" s="11">
        <v>52</v>
      </c>
      <c r="E56" s="11">
        <v>93</v>
      </c>
      <c r="F56" s="11">
        <v>224</v>
      </c>
      <c r="G56" s="11">
        <v>110</v>
      </c>
      <c r="H56" s="11" t="s">
        <v>77</v>
      </c>
      <c r="I56" s="11">
        <v>256</v>
      </c>
      <c r="J56" s="11">
        <v>249</v>
      </c>
      <c r="K56" s="11">
        <v>230</v>
      </c>
      <c r="L56" s="11">
        <v>166</v>
      </c>
      <c r="M56" s="11">
        <v>241</v>
      </c>
      <c r="N56" s="11">
        <v>432</v>
      </c>
    </row>
    <row r="57" spans="3:14" x14ac:dyDescent="0.25">
      <c r="C57" s="10" t="s">
        <v>20</v>
      </c>
      <c r="D57" s="11">
        <v>300</v>
      </c>
      <c r="E57" s="11">
        <v>304</v>
      </c>
      <c r="F57" s="11">
        <v>47</v>
      </c>
      <c r="G57" s="11">
        <v>138</v>
      </c>
      <c r="H57" s="11">
        <v>256</v>
      </c>
      <c r="I57" s="11" t="s">
        <v>77</v>
      </c>
      <c r="J57" s="11">
        <v>420</v>
      </c>
      <c r="K57" s="11">
        <v>401</v>
      </c>
      <c r="L57" s="11">
        <v>415</v>
      </c>
      <c r="M57" s="11">
        <v>399</v>
      </c>
      <c r="N57" s="11">
        <v>390</v>
      </c>
    </row>
    <row r="58" spans="3:14" x14ac:dyDescent="0.25">
      <c r="C58" s="10" t="s">
        <v>50</v>
      </c>
      <c r="D58" s="11">
        <v>226</v>
      </c>
      <c r="E58" s="11">
        <v>281</v>
      </c>
      <c r="F58" s="11">
        <v>385</v>
      </c>
      <c r="G58" s="11">
        <v>364</v>
      </c>
      <c r="H58" s="11">
        <v>249</v>
      </c>
      <c r="I58" s="11">
        <v>420</v>
      </c>
      <c r="J58" s="11" t="s">
        <v>77</v>
      </c>
      <c r="K58" s="11">
        <v>30</v>
      </c>
      <c r="L58" s="11">
        <v>111</v>
      </c>
      <c r="M58" s="11">
        <v>61</v>
      </c>
      <c r="N58" s="11">
        <v>398</v>
      </c>
    </row>
    <row r="59" spans="3:14" x14ac:dyDescent="0.25">
      <c r="C59" s="10" t="s">
        <v>16</v>
      </c>
      <c r="D59" s="11">
        <v>221</v>
      </c>
      <c r="E59" s="11">
        <v>277</v>
      </c>
      <c r="F59" s="11">
        <v>369</v>
      </c>
      <c r="G59" s="11">
        <v>345</v>
      </c>
      <c r="H59" s="11">
        <v>230</v>
      </c>
      <c r="I59" s="11">
        <v>401</v>
      </c>
      <c r="J59" s="11">
        <v>30</v>
      </c>
      <c r="K59" s="11" t="s">
        <v>77</v>
      </c>
      <c r="L59" s="11">
        <v>103</v>
      </c>
      <c r="M59" s="11">
        <v>31</v>
      </c>
      <c r="N59" s="11">
        <v>382</v>
      </c>
    </row>
    <row r="60" spans="3:14" x14ac:dyDescent="0.25">
      <c r="C60" s="10" t="s">
        <v>51</v>
      </c>
      <c r="D60" s="11">
        <v>192</v>
      </c>
      <c r="E60" s="11">
        <v>197</v>
      </c>
      <c r="F60" s="11">
        <v>400</v>
      </c>
      <c r="G60" s="11">
        <v>316</v>
      </c>
      <c r="H60" s="11">
        <v>166</v>
      </c>
      <c r="I60" s="11">
        <v>415</v>
      </c>
      <c r="J60" s="11">
        <v>111</v>
      </c>
      <c r="K60" s="11">
        <v>103</v>
      </c>
      <c r="L60" s="11" t="s">
        <v>77</v>
      </c>
      <c r="M60" s="11">
        <v>117</v>
      </c>
      <c r="N60" s="11">
        <v>395</v>
      </c>
    </row>
    <row r="61" spans="3:14" x14ac:dyDescent="0.25">
      <c r="C61" s="10" t="s">
        <v>52</v>
      </c>
      <c r="D61" s="11">
        <v>233</v>
      </c>
      <c r="E61" s="11">
        <v>288</v>
      </c>
      <c r="F61" s="11">
        <v>364</v>
      </c>
      <c r="G61" s="11">
        <v>343</v>
      </c>
      <c r="H61" s="11">
        <v>241</v>
      </c>
      <c r="I61" s="11">
        <v>399</v>
      </c>
      <c r="J61" s="11">
        <v>61</v>
      </c>
      <c r="K61" s="11">
        <v>31</v>
      </c>
      <c r="L61" s="11">
        <v>117</v>
      </c>
      <c r="M61" s="11" t="s">
        <v>77</v>
      </c>
      <c r="N61" s="11">
        <v>375</v>
      </c>
    </row>
    <row r="62" spans="3:14" x14ac:dyDescent="0.25">
      <c r="C62" s="10" t="s">
        <v>78</v>
      </c>
      <c r="D62" s="11">
        <v>476</v>
      </c>
      <c r="E62" s="11">
        <v>494</v>
      </c>
      <c r="F62" s="11">
        <v>364</v>
      </c>
      <c r="G62" s="11">
        <v>404</v>
      </c>
      <c r="H62" s="11">
        <v>432</v>
      </c>
      <c r="I62" s="11">
        <v>390</v>
      </c>
      <c r="J62" s="11">
        <v>398</v>
      </c>
      <c r="K62" s="11">
        <v>382</v>
      </c>
      <c r="L62" s="11">
        <v>395</v>
      </c>
      <c r="M62" s="11">
        <v>374</v>
      </c>
      <c r="N62" s="11" t="s">
        <v>77</v>
      </c>
    </row>
    <row r="63" spans="3:14" x14ac:dyDescent="0.25"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s="7" customFormat="1" x14ac:dyDescent="0.25">
      <c r="C64" s="9" t="s">
        <v>31</v>
      </c>
      <c r="D64" s="10" t="s">
        <v>44</v>
      </c>
      <c r="E64" s="10" t="s">
        <v>18</v>
      </c>
      <c r="F64" s="10" t="s">
        <v>17</v>
      </c>
      <c r="G64" s="10" t="s">
        <v>40</v>
      </c>
      <c r="H64" s="10" t="s">
        <v>48</v>
      </c>
      <c r="I64" s="10" t="s">
        <v>11</v>
      </c>
      <c r="J64" s="10" t="s">
        <v>81</v>
      </c>
      <c r="K64" s="10" t="s">
        <v>10</v>
      </c>
      <c r="L64" s="10" t="s">
        <v>7</v>
      </c>
      <c r="M64" s="10" t="s">
        <v>49</v>
      </c>
      <c r="N64" s="10"/>
    </row>
    <row r="65" spans="3:14" x14ac:dyDescent="0.25">
      <c r="C65" s="10" t="s">
        <v>44</v>
      </c>
      <c r="D65" s="11" t="s">
        <v>77</v>
      </c>
      <c r="E65" s="11">
        <v>74</v>
      </c>
      <c r="F65" s="11">
        <v>50</v>
      </c>
      <c r="G65" s="11">
        <v>115</v>
      </c>
      <c r="H65" s="11">
        <v>386</v>
      </c>
      <c r="I65" s="11">
        <v>126</v>
      </c>
      <c r="J65" s="11">
        <v>237</v>
      </c>
      <c r="K65" s="11">
        <v>302</v>
      </c>
      <c r="L65" s="11">
        <v>162</v>
      </c>
      <c r="M65" s="11">
        <v>467</v>
      </c>
      <c r="N65" s="11"/>
    </row>
    <row r="66" spans="3:14" x14ac:dyDescent="0.25">
      <c r="C66" s="10" t="s">
        <v>18</v>
      </c>
      <c r="D66" s="11">
        <v>74</v>
      </c>
      <c r="E66" s="11" t="s">
        <v>77</v>
      </c>
      <c r="F66" s="11">
        <v>110</v>
      </c>
      <c r="G66" s="11">
        <v>42</v>
      </c>
      <c r="H66" s="11">
        <v>328</v>
      </c>
      <c r="I66" s="11">
        <v>37</v>
      </c>
      <c r="J66" s="11">
        <v>207</v>
      </c>
      <c r="K66" s="11">
        <v>278</v>
      </c>
      <c r="L66" s="11">
        <v>65</v>
      </c>
      <c r="M66" s="11">
        <v>385</v>
      </c>
      <c r="N66" s="11"/>
    </row>
    <row r="67" spans="3:14" x14ac:dyDescent="0.25">
      <c r="C67" s="10" t="s">
        <v>17</v>
      </c>
      <c r="D67" s="11">
        <v>50</v>
      </c>
      <c r="E67" s="11">
        <v>110</v>
      </c>
      <c r="F67" s="11" t="s">
        <v>77</v>
      </c>
      <c r="G67" s="11">
        <v>144</v>
      </c>
      <c r="H67" s="11">
        <v>416</v>
      </c>
      <c r="I67" s="11">
        <v>156</v>
      </c>
      <c r="J67" s="11">
        <v>266</v>
      </c>
      <c r="K67" s="11">
        <v>331</v>
      </c>
      <c r="L67" s="11">
        <v>178</v>
      </c>
      <c r="M67" s="11">
        <v>497</v>
      </c>
      <c r="N67" s="11"/>
    </row>
    <row r="68" spans="3:14" x14ac:dyDescent="0.25">
      <c r="C68" s="10" t="s">
        <v>40</v>
      </c>
      <c r="D68" s="11">
        <v>115</v>
      </c>
      <c r="E68" s="11">
        <v>42</v>
      </c>
      <c r="F68" s="11">
        <v>144</v>
      </c>
      <c r="G68" s="11" t="s">
        <v>77</v>
      </c>
      <c r="H68" s="11">
        <v>307</v>
      </c>
      <c r="I68" s="11">
        <v>40</v>
      </c>
      <c r="J68" s="11">
        <v>223</v>
      </c>
      <c r="K68" s="11">
        <v>288</v>
      </c>
      <c r="L68" s="11">
        <v>26</v>
      </c>
      <c r="M68" s="11">
        <v>364</v>
      </c>
      <c r="N68" s="11"/>
    </row>
    <row r="69" spans="3:14" x14ac:dyDescent="0.25">
      <c r="C69" s="10" t="s">
        <v>48</v>
      </c>
      <c r="D69" s="11">
        <v>386</v>
      </c>
      <c r="E69" s="11">
        <v>328</v>
      </c>
      <c r="F69" s="11">
        <v>416</v>
      </c>
      <c r="G69" s="11">
        <v>307</v>
      </c>
      <c r="H69" s="11" t="s">
        <v>77</v>
      </c>
      <c r="I69" s="11">
        <v>300</v>
      </c>
      <c r="J69" s="11">
        <v>184</v>
      </c>
      <c r="K69" s="11">
        <v>242</v>
      </c>
      <c r="L69" s="11">
        <v>294</v>
      </c>
      <c r="M69" s="11">
        <v>81</v>
      </c>
      <c r="N69" s="11"/>
    </row>
    <row r="70" spans="3:14" x14ac:dyDescent="0.25">
      <c r="C70" s="10" t="s">
        <v>11</v>
      </c>
      <c r="D70" s="11">
        <v>126</v>
      </c>
      <c r="E70" s="11">
        <v>37</v>
      </c>
      <c r="F70" s="11">
        <v>156</v>
      </c>
      <c r="G70" s="11">
        <v>40</v>
      </c>
      <c r="H70" s="11">
        <v>300</v>
      </c>
      <c r="I70" s="11" t="s">
        <v>77</v>
      </c>
      <c r="J70" s="11">
        <v>190</v>
      </c>
      <c r="K70" s="11">
        <v>255</v>
      </c>
      <c r="L70" s="11">
        <v>45</v>
      </c>
      <c r="M70" s="11">
        <v>357</v>
      </c>
      <c r="N70" s="11"/>
    </row>
    <row r="71" spans="3:14" x14ac:dyDescent="0.25">
      <c r="C71" s="10" t="s">
        <v>81</v>
      </c>
      <c r="D71" s="11">
        <v>237</v>
      </c>
      <c r="E71" s="11">
        <v>207</v>
      </c>
      <c r="F71" s="11">
        <v>266</v>
      </c>
      <c r="G71" s="11">
        <v>223</v>
      </c>
      <c r="H71" s="11">
        <v>184</v>
      </c>
      <c r="I71" s="11">
        <v>190</v>
      </c>
      <c r="J71" s="11" t="s">
        <v>77</v>
      </c>
      <c r="K71" s="11">
        <v>84</v>
      </c>
      <c r="L71" s="11">
        <v>227</v>
      </c>
      <c r="M71" s="11">
        <v>264</v>
      </c>
      <c r="N71" s="11"/>
    </row>
    <row r="72" spans="3:14" x14ac:dyDescent="0.25">
      <c r="C72" s="10" t="s">
        <v>10</v>
      </c>
      <c r="D72" s="11">
        <v>302</v>
      </c>
      <c r="E72" s="11">
        <v>278</v>
      </c>
      <c r="F72" s="11">
        <v>331</v>
      </c>
      <c r="G72" s="11">
        <v>288</v>
      </c>
      <c r="H72" s="11">
        <v>242</v>
      </c>
      <c r="I72" s="11">
        <v>255</v>
      </c>
      <c r="J72" s="11">
        <v>84</v>
      </c>
      <c r="K72" s="11" t="s">
        <v>77</v>
      </c>
      <c r="L72" s="11">
        <v>292</v>
      </c>
      <c r="M72" s="11">
        <v>323</v>
      </c>
      <c r="N72" s="11"/>
    </row>
    <row r="73" spans="3:14" x14ac:dyDescent="0.25">
      <c r="C73" s="10" t="s">
        <v>7</v>
      </c>
      <c r="D73" s="11">
        <v>162</v>
      </c>
      <c r="E73" s="11">
        <v>65</v>
      </c>
      <c r="F73" s="11">
        <v>178</v>
      </c>
      <c r="G73" s="11">
        <v>26</v>
      </c>
      <c r="H73" s="11">
        <v>294</v>
      </c>
      <c r="I73" s="11">
        <v>45</v>
      </c>
      <c r="J73" s="11">
        <v>227</v>
      </c>
      <c r="K73" s="11">
        <v>292</v>
      </c>
      <c r="L73" s="11" t="s">
        <v>77</v>
      </c>
      <c r="M73" s="11">
        <v>351</v>
      </c>
      <c r="N73" s="11"/>
    </row>
    <row r="74" spans="3:14" x14ac:dyDescent="0.25">
      <c r="C74" s="10" t="s">
        <v>49</v>
      </c>
      <c r="D74" s="11">
        <v>467</v>
      </c>
      <c r="E74" s="11">
        <v>385</v>
      </c>
      <c r="F74" s="11">
        <v>497</v>
      </c>
      <c r="G74" s="11">
        <v>364</v>
      </c>
      <c r="H74" s="11">
        <v>81</v>
      </c>
      <c r="I74" s="11">
        <v>357</v>
      </c>
      <c r="J74" s="11">
        <v>264</v>
      </c>
      <c r="K74" s="11">
        <v>323</v>
      </c>
      <c r="L74" s="11">
        <v>351</v>
      </c>
      <c r="M74" s="11" t="s">
        <v>77</v>
      </c>
      <c r="N74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3"/>
  <sheetViews>
    <sheetView topLeftCell="A42" workbookViewId="0">
      <selection activeCell="L25" sqref="L25"/>
    </sheetView>
  </sheetViews>
  <sheetFormatPr baseColWidth="10" defaultColWidth="10.875" defaultRowHeight="18.75" x14ac:dyDescent="0.25"/>
  <cols>
    <col min="1" max="1" width="21.875" style="1" customWidth="1"/>
    <col min="2" max="2" width="10.875" style="1"/>
    <col min="3" max="3" width="14.875" style="1" customWidth="1"/>
    <col min="4" max="4" width="10.875" style="1"/>
    <col min="5" max="5" width="12" style="1" customWidth="1"/>
    <col min="6" max="8" width="10.875" style="1"/>
    <col min="9" max="9" width="15.375" style="1" customWidth="1"/>
    <col min="10" max="10" width="11.875" style="1" customWidth="1"/>
    <col min="11" max="14" width="10.875" style="1"/>
    <col min="15" max="15" width="12.875" style="1" customWidth="1"/>
    <col min="16" max="16384" width="10.875" style="1"/>
  </cols>
  <sheetData>
    <row r="1" spans="1:12" s="7" customFormat="1" x14ac:dyDescent="0.25">
      <c r="A1" s="2" t="s">
        <v>26</v>
      </c>
      <c r="B1" s="7" t="s">
        <v>29</v>
      </c>
      <c r="C1" s="7" t="s">
        <v>27</v>
      </c>
      <c r="D1" s="7" t="s">
        <v>72</v>
      </c>
      <c r="E1" s="7" t="s">
        <v>66</v>
      </c>
      <c r="F1" s="7" t="s">
        <v>67</v>
      </c>
      <c r="G1" s="7" t="s">
        <v>68</v>
      </c>
      <c r="I1" s="7" t="s">
        <v>28</v>
      </c>
      <c r="J1" s="7" t="s">
        <v>66</v>
      </c>
      <c r="K1" s="7" t="s">
        <v>67</v>
      </c>
      <c r="L1" s="7" t="s">
        <v>68</v>
      </c>
    </row>
    <row r="2" spans="1:12" x14ac:dyDescent="0.25">
      <c r="A2" s="1" t="s">
        <v>1</v>
      </c>
      <c r="B2" s="1" t="s">
        <v>30</v>
      </c>
      <c r="C2" s="5">
        <f>(268+110+110+134+75)</f>
        <v>697</v>
      </c>
      <c r="D2" s="5">
        <f>C2/5</f>
        <v>139.4</v>
      </c>
      <c r="E2" s="5">
        <v>272</v>
      </c>
      <c r="F2" s="5">
        <v>75</v>
      </c>
      <c r="G2" s="5">
        <f>1022/6</f>
        <v>170.33333333333334</v>
      </c>
      <c r="I2" s="1" t="s">
        <v>30</v>
      </c>
      <c r="J2" s="1">
        <v>332</v>
      </c>
      <c r="K2" s="1">
        <v>39</v>
      </c>
      <c r="L2" s="5">
        <f>1918/11</f>
        <v>174.36363636363637</v>
      </c>
    </row>
    <row r="3" spans="1:12" x14ac:dyDescent="0.25">
      <c r="A3" s="1" t="s">
        <v>36</v>
      </c>
      <c r="B3" s="1" t="s">
        <v>30</v>
      </c>
      <c r="C3" s="5">
        <f>(62+268+270+238)</f>
        <v>838</v>
      </c>
      <c r="D3" s="5">
        <f>C3/4</f>
        <v>209.5</v>
      </c>
      <c r="E3" s="5">
        <v>312</v>
      </c>
      <c r="F3" s="5">
        <v>62</v>
      </c>
      <c r="G3" s="5">
        <f>1331/6</f>
        <v>221.83333333333334</v>
      </c>
      <c r="I3" s="1" t="s">
        <v>73</v>
      </c>
      <c r="J3" s="1">
        <v>476</v>
      </c>
      <c r="K3" s="1">
        <v>62</v>
      </c>
      <c r="L3" s="5">
        <f>1402/7</f>
        <v>200.28571428571428</v>
      </c>
    </row>
    <row r="4" spans="1:12" x14ac:dyDescent="0.25">
      <c r="A4" s="1" t="s">
        <v>35</v>
      </c>
      <c r="B4" s="1" t="s">
        <v>30</v>
      </c>
      <c r="C4" s="5">
        <f>(51+51+291+188)</f>
        <v>581</v>
      </c>
      <c r="D4" s="5">
        <f>C4/4</f>
        <v>145.25</v>
      </c>
      <c r="E4" s="5">
        <v>312</v>
      </c>
      <c r="F4" s="5">
        <v>51</v>
      </c>
      <c r="G4" s="5">
        <f>1025/6</f>
        <v>170.83333333333334</v>
      </c>
      <c r="I4" s="1" t="s">
        <v>30</v>
      </c>
      <c r="J4" s="1">
        <v>424</v>
      </c>
      <c r="K4" s="1">
        <v>51</v>
      </c>
      <c r="L4" s="5">
        <f>1843/11</f>
        <v>167.54545454545453</v>
      </c>
    </row>
    <row r="5" spans="1:12" x14ac:dyDescent="0.25">
      <c r="A5" s="1" t="s">
        <v>37</v>
      </c>
      <c r="B5" s="1" t="s">
        <v>30</v>
      </c>
      <c r="C5" s="5">
        <f>(62+62+272+244+242)</f>
        <v>882</v>
      </c>
      <c r="D5" s="5">
        <f>C5/5</f>
        <v>176.4</v>
      </c>
      <c r="E5" s="5">
        <v>291</v>
      </c>
      <c r="F5" s="5">
        <v>62</v>
      </c>
      <c r="G5" s="5">
        <f>1303/6</f>
        <v>217.16666666666666</v>
      </c>
      <c r="I5" s="1" t="s">
        <v>73</v>
      </c>
      <c r="J5" s="1">
        <v>399</v>
      </c>
      <c r="K5" s="1">
        <v>30</v>
      </c>
      <c r="L5" s="5">
        <f>1110/7</f>
        <v>158.57142857142858</v>
      </c>
    </row>
    <row r="6" spans="1:12" x14ac:dyDescent="0.25">
      <c r="A6" s="1" t="s">
        <v>0</v>
      </c>
      <c r="B6" s="1" t="s">
        <v>30</v>
      </c>
      <c r="C6" s="5">
        <f>(51+145+244+51)</f>
        <v>491</v>
      </c>
      <c r="D6" s="5">
        <f>C6/4</f>
        <v>122.75</v>
      </c>
      <c r="E6" s="5">
        <v>270</v>
      </c>
      <c r="F6" s="5">
        <v>51</v>
      </c>
      <c r="G6" s="5">
        <f>967/6</f>
        <v>161.16666666666666</v>
      </c>
      <c r="I6" s="1" t="s">
        <v>30</v>
      </c>
      <c r="J6" s="1">
        <v>457</v>
      </c>
      <c r="K6" s="1">
        <v>51</v>
      </c>
      <c r="L6" s="5">
        <f>2153/11</f>
        <v>195.72727272727272</v>
      </c>
    </row>
    <row r="7" spans="1:12" x14ac:dyDescent="0.25">
      <c r="A7" s="1" t="s">
        <v>5</v>
      </c>
      <c r="B7" s="1" t="s">
        <v>30</v>
      </c>
      <c r="C7" s="5">
        <f>(188+110+181+63)</f>
        <v>542</v>
      </c>
      <c r="D7" s="5">
        <f>C7/4</f>
        <v>135.5</v>
      </c>
      <c r="E7" s="5">
        <v>192</v>
      </c>
      <c r="F7" s="5">
        <v>63</v>
      </c>
      <c r="G7" s="5">
        <f>836/6</f>
        <v>139.33333333333334</v>
      </c>
      <c r="I7" s="1" t="s">
        <v>30</v>
      </c>
      <c r="J7" s="1">
        <v>430</v>
      </c>
      <c r="K7" s="1">
        <v>63</v>
      </c>
      <c r="L7" s="5">
        <f>2604/11</f>
        <v>236.72727272727272</v>
      </c>
    </row>
    <row r="8" spans="1:12" x14ac:dyDescent="0.25">
      <c r="A8" s="1" t="s">
        <v>54</v>
      </c>
      <c r="B8" s="1" t="s">
        <v>30</v>
      </c>
      <c r="C8" s="5">
        <f>(238+63+94+92)</f>
        <v>487</v>
      </c>
      <c r="D8" s="5">
        <f>C8/4</f>
        <v>121.75</v>
      </c>
      <c r="E8" s="5">
        <v>242</v>
      </c>
      <c r="F8" s="5">
        <v>63</v>
      </c>
      <c r="G8" s="5">
        <f>804/6</f>
        <v>134</v>
      </c>
      <c r="I8" s="1" t="s">
        <v>30</v>
      </c>
      <c r="J8" s="1">
        <v>378</v>
      </c>
      <c r="K8" s="1">
        <v>63</v>
      </c>
      <c r="L8" s="5">
        <f>2569/11</f>
        <v>233.54545454545453</v>
      </c>
    </row>
    <row r="9" spans="1:12" x14ac:dyDescent="0.25">
      <c r="A9" s="1" t="s">
        <v>11</v>
      </c>
      <c r="B9" s="1" t="s">
        <v>31</v>
      </c>
      <c r="C9" s="5">
        <v>852</v>
      </c>
      <c r="D9" s="5">
        <f>C9/5</f>
        <v>170.4</v>
      </c>
      <c r="E9" s="5">
        <v>414</v>
      </c>
      <c r="F9" s="5">
        <v>33</v>
      </c>
      <c r="G9" s="5">
        <f>973/8</f>
        <v>121.625</v>
      </c>
      <c r="I9" s="1" t="s">
        <v>31</v>
      </c>
      <c r="J9" s="1">
        <v>177</v>
      </c>
      <c r="K9" s="1">
        <v>27</v>
      </c>
      <c r="L9" s="5">
        <f>896/11</f>
        <v>81.454545454545453</v>
      </c>
    </row>
    <row r="10" spans="1:12" x14ac:dyDescent="0.25">
      <c r="A10" s="1" t="s">
        <v>55</v>
      </c>
      <c r="B10" s="1" t="s">
        <v>31</v>
      </c>
      <c r="C10" s="5">
        <v>899</v>
      </c>
      <c r="D10" s="5">
        <f>C10/5</f>
        <v>179.8</v>
      </c>
      <c r="E10" s="5">
        <v>449</v>
      </c>
      <c r="F10" s="5">
        <v>14</v>
      </c>
      <c r="G10" s="5">
        <f>1091/8</f>
        <v>136.375</v>
      </c>
      <c r="I10" s="1" t="s">
        <v>31</v>
      </c>
      <c r="J10" s="1">
        <v>214</v>
      </c>
      <c r="K10" s="1">
        <v>0</v>
      </c>
      <c r="L10" s="5">
        <f>1052/11</f>
        <v>95.63636363636364</v>
      </c>
    </row>
    <row r="11" spans="1:12" x14ac:dyDescent="0.25">
      <c r="A11" s="1" t="s">
        <v>56</v>
      </c>
      <c r="B11" s="1" t="s">
        <v>31</v>
      </c>
      <c r="C11" s="5">
        <v>222</v>
      </c>
      <c r="D11" s="5">
        <f>C11/4</f>
        <v>55.5</v>
      </c>
      <c r="E11" s="5">
        <v>449</v>
      </c>
      <c r="F11" s="5">
        <v>14</v>
      </c>
      <c r="G11" s="5">
        <f>1091/8</f>
        <v>136.375</v>
      </c>
      <c r="I11" s="1" t="s">
        <v>31</v>
      </c>
      <c r="J11" s="1">
        <v>214</v>
      </c>
      <c r="K11" s="1">
        <v>0</v>
      </c>
      <c r="L11" s="5">
        <f>1052/11</f>
        <v>95.63636363636364</v>
      </c>
    </row>
    <row r="12" spans="1:12" x14ac:dyDescent="0.25">
      <c r="A12" s="1" t="s">
        <v>43</v>
      </c>
      <c r="B12" s="1" t="s">
        <v>31</v>
      </c>
      <c r="C12" s="5">
        <v>1927</v>
      </c>
      <c r="D12" s="5">
        <f>C12/5</f>
        <v>385.4</v>
      </c>
      <c r="E12" s="5">
        <v>449</v>
      </c>
      <c r="F12" s="5">
        <v>231</v>
      </c>
      <c r="G12" s="5">
        <f>3067/8</f>
        <v>383.375</v>
      </c>
      <c r="I12" s="1" t="s">
        <v>73</v>
      </c>
      <c r="J12" s="1">
        <v>494</v>
      </c>
      <c r="K12" s="1">
        <v>283</v>
      </c>
      <c r="L12" s="5">
        <f>2789/7</f>
        <v>398.42857142857144</v>
      </c>
    </row>
    <row r="13" spans="1:12" x14ac:dyDescent="0.25">
      <c r="A13" s="1" t="s">
        <v>38</v>
      </c>
      <c r="B13" s="1" t="s">
        <v>31</v>
      </c>
      <c r="C13" s="5">
        <v>1105</v>
      </c>
      <c r="D13" s="5">
        <f>C13/6</f>
        <v>184.16666666666666</v>
      </c>
      <c r="E13" s="5">
        <v>283</v>
      </c>
      <c r="F13" s="5">
        <v>72</v>
      </c>
      <c r="G13" s="5">
        <f>1414/8</f>
        <v>176.75</v>
      </c>
      <c r="I13" s="1" t="s">
        <v>73</v>
      </c>
      <c r="J13" s="1">
        <v>407</v>
      </c>
      <c r="K13" s="1">
        <v>111</v>
      </c>
      <c r="L13" s="5">
        <f>1684/7</f>
        <v>240.57142857142858</v>
      </c>
    </row>
    <row r="14" spans="1:12" x14ac:dyDescent="0.25">
      <c r="A14" s="1" t="s">
        <v>41</v>
      </c>
      <c r="B14" s="1" t="s">
        <v>31</v>
      </c>
      <c r="C14" s="5">
        <v>740</v>
      </c>
      <c r="D14" s="5">
        <f>C14/5</f>
        <v>148</v>
      </c>
      <c r="E14" s="5">
        <v>360</v>
      </c>
      <c r="F14" s="5">
        <v>72</v>
      </c>
      <c r="G14" s="5">
        <f>1063/8</f>
        <v>132.875</v>
      </c>
      <c r="I14" s="1" t="s">
        <v>31</v>
      </c>
      <c r="J14" s="1">
        <v>152</v>
      </c>
      <c r="K14" s="1">
        <v>74</v>
      </c>
      <c r="L14" s="5">
        <f>1213/11</f>
        <v>110.27272727272727</v>
      </c>
    </row>
    <row r="15" spans="1:12" x14ac:dyDescent="0.25">
      <c r="A15" s="1" t="s">
        <v>39</v>
      </c>
      <c r="B15" s="1" t="s">
        <v>31</v>
      </c>
      <c r="C15" s="5">
        <v>957</v>
      </c>
      <c r="D15" s="5">
        <f>C15/5</f>
        <v>191.4</v>
      </c>
      <c r="E15" s="5">
        <v>231</v>
      </c>
      <c r="F15" s="5">
        <v>120</v>
      </c>
      <c r="G15" s="5">
        <f>1486/8</f>
        <v>185.75</v>
      </c>
      <c r="I15" s="1" t="s">
        <v>31</v>
      </c>
      <c r="J15" s="1">
        <v>253</v>
      </c>
      <c r="K15" s="1">
        <v>124</v>
      </c>
      <c r="L15" s="5">
        <f>2204/11</f>
        <v>200.36363636363637</v>
      </c>
    </row>
    <row r="16" spans="1:12" x14ac:dyDescent="0.25">
      <c r="A16" s="1" t="s">
        <v>15</v>
      </c>
      <c r="B16" s="1" t="s">
        <v>31</v>
      </c>
      <c r="C16" s="5">
        <v>598</v>
      </c>
      <c r="D16" s="5">
        <f>C16/5</f>
        <v>119.6</v>
      </c>
      <c r="E16" s="5">
        <v>441</v>
      </c>
      <c r="F16" s="5">
        <v>27</v>
      </c>
      <c r="G16" s="5">
        <f>1125/8</f>
        <v>140.625</v>
      </c>
      <c r="I16" s="1" t="s">
        <v>31</v>
      </c>
      <c r="J16" s="1">
        <v>203</v>
      </c>
      <c r="K16" s="1">
        <v>13</v>
      </c>
      <c r="L16" s="5">
        <f>879/11</f>
        <v>79.909090909090907</v>
      </c>
    </row>
    <row r="17" spans="1:12" x14ac:dyDescent="0.25">
      <c r="A17" s="1" t="s">
        <v>57</v>
      </c>
      <c r="B17" s="1" t="s">
        <v>31</v>
      </c>
      <c r="C17" s="5">
        <v>730</v>
      </c>
      <c r="D17" s="5">
        <f>C17/6</f>
        <v>121.66666666666667</v>
      </c>
      <c r="E17" s="5">
        <v>441</v>
      </c>
      <c r="F17" s="5">
        <v>14</v>
      </c>
      <c r="G17" s="5">
        <f>1047/8</f>
        <v>130.875</v>
      </c>
      <c r="I17" s="1" t="s">
        <v>31</v>
      </c>
      <c r="J17" s="1">
        <v>203</v>
      </c>
      <c r="K17" s="1">
        <v>14</v>
      </c>
      <c r="L17" s="5">
        <f>989/11</f>
        <v>89.909090909090907</v>
      </c>
    </row>
    <row r="18" spans="1:12" x14ac:dyDescent="0.25">
      <c r="A18" s="1" t="s">
        <v>58</v>
      </c>
      <c r="B18" s="1" t="s">
        <v>32</v>
      </c>
      <c r="C18" s="5">
        <f>24+240+131+159+115+100</f>
        <v>769</v>
      </c>
      <c r="D18" s="5">
        <f>C18/6</f>
        <v>128.16666666666666</v>
      </c>
      <c r="E18" s="5">
        <v>240</v>
      </c>
      <c r="F18" s="5">
        <v>24</v>
      </c>
      <c r="G18" s="5">
        <f>1090/8</f>
        <v>136.25</v>
      </c>
      <c r="I18" s="1" t="s">
        <v>31</v>
      </c>
      <c r="J18" s="1">
        <v>158</v>
      </c>
      <c r="K18" s="1">
        <v>24</v>
      </c>
      <c r="L18" s="5">
        <f>889/11</f>
        <v>80.818181818181813</v>
      </c>
    </row>
    <row r="19" spans="1:12" x14ac:dyDescent="0.25">
      <c r="A19" s="1" t="s">
        <v>59</v>
      </c>
      <c r="B19" s="1" t="s">
        <v>32</v>
      </c>
      <c r="C19" s="5">
        <f>111+101+46+85+30</f>
        <v>373</v>
      </c>
      <c r="D19" s="5">
        <f>C19/5</f>
        <v>74.599999999999994</v>
      </c>
      <c r="E19" s="5">
        <v>131</v>
      </c>
      <c r="F19" s="5">
        <v>30</v>
      </c>
      <c r="G19" s="5">
        <f>603/8</f>
        <v>75.375</v>
      </c>
      <c r="I19" s="1" t="s">
        <v>73</v>
      </c>
      <c r="J19" s="1">
        <v>399</v>
      </c>
      <c r="K19" s="1">
        <v>30</v>
      </c>
      <c r="L19" s="5">
        <f>1274/7</f>
        <v>182</v>
      </c>
    </row>
    <row r="20" spans="1:12" x14ac:dyDescent="0.25">
      <c r="A20" s="1" t="s">
        <v>16</v>
      </c>
      <c r="B20" s="1" t="s">
        <v>32</v>
      </c>
      <c r="C20" s="5">
        <f>159+91+129+64+103</f>
        <v>546</v>
      </c>
      <c r="D20" s="5">
        <f>C20/5</f>
        <v>109.2</v>
      </c>
      <c r="E20" s="5">
        <v>159</v>
      </c>
      <c r="F20" s="5">
        <v>30</v>
      </c>
      <c r="G20" s="5">
        <f>678/8</f>
        <v>84.75</v>
      </c>
      <c r="I20" s="1" t="s">
        <v>73</v>
      </c>
      <c r="J20" s="1">
        <v>380</v>
      </c>
      <c r="K20" s="1">
        <v>30</v>
      </c>
      <c r="L20" s="5">
        <f>1178/7</f>
        <v>168.28571428571428</v>
      </c>
    </row>
    <row r="21" spans="1:12" x14ac:dyDescent="0.25">
      <c r="A21" s="1" t="s">
        <v>18</v>
      </c>
      <c r="B21" s="1" t="s">
        <v>32</v>
      </c>
      <c r="C21" s="5">
        <f>24+74+89+160+210</f>
        <v>557</v>
      </c>
      <c r="D21" s="5">
        <f>C21/5</f>
        <v>111.4</v>
      </c>
      <c r="E21" s="5">
        <v>210</v>
      </c>
      <c r="F21" s="5">
        <v>24</v>
      </c>
      <c r="G21" s="5">
        <f>897/8</f>
        <v>112.125</v>
      </c>
      <c r="I21" s="1" t="s">
        <v>31</v>
      </c>
      <c r="J21" s="1">
        <v>200</v>
      </c>
      <c r="K21" s="1">
        <v>13</v>
      </c>
      <c r="L21" s="5">
        <f>837/11</f>
        <v>76.090909090909093</v>
      </c>
    </row>
    <row r="22" spans="1:12" x14ac:dyDescent="0.25">
      <c r="A22" s="1" t="s">
        <v>44</v>
      </c>
      <c r="B22" s="1" t="s">
        <v>32</v>
      </c>
      <c r="C22" s="5">
        <f>38+144+74+50+23</f>
        <v>329</v>
      </c>
      <c r="D22" s="5">
        <f>C22/5</f>
        <v>65.8</v>
      </c>
      <c r="E22" s="5">
        <v>144</v>
      </c>
      <c r="F22" s="5">
        <v>23</v>
      </c>
      <c r="G22" s="5">
        <f>587/8</f>
        <v>73.375</v>
      </c>
      <c r="I22" s="1" t="s">
        <v>31</v>
      </c>
      <c r="J22" s="1">
        <v>219</v>
      </c>
      <c r="K22" s="1">
        <v>23</v>
      </c>
      <c r="L22" s="5">
        <f>1205/11</f>
        <v>109.54545454545455</v>
      </c>
    </row>
    <row r="23" spans="1:12" x14ac:dyDescent="0.25">
      <c r="A23" s="1" t="s">
        <v>60</v>
      </c>
      <c r="B23" s="1" t="s">
        <v>32</v>
      </c>
      <c r="C23" s="5">
        <f>71+46+157+23</f>
        <v>297</v>
      </c>
      <c r="D23" s="5">
        <f>C23/4</f>
        <v>74.25</v>
      </c>
      <c r="E23" s="5">
        <v>157</v>
      </c>
      <c r="F23" s="5">
        <v>23</v>
      </c>
      <c r="G23" s="5">
        <f>630/8</f>
        <v>78.75</v>
      </c>
      <c r="I23" s="1" t="s">
        <v>31</v>
      </c>
      <c r="J23" s="1">
        <v>239</v>
      </c>
      <c r="K23" s="1">
        <v>23</v>
      </c>
      <c r="L23" s="5">
        <f>1361/11</f>
        <v>123.72727272727273</v>
      </c>
    </row>
    <row r="24" spans="1:12" x14ac:dyDescent="0.25">
      <c r="A24" s="1" t="s">
        <v>51</v>
      </c>
      <c r="B24" s="1" t="s">
        <v>32</v>
      </c>
      <c r="C24" s="5">
        <f>103+117+157+103+144</f>
        <v>624</v>
      </c>
      <c r="D24" s="5">
        <f>C24/5</f>
        <v>124.8</v>
      </c>
      <c r="E24" s="5">
        <v>240</v>
      </c>
      <c r="F24" s="5">
        <v>103</v>
      </c>
      <c r="G24" s="5">
        <f>1185/8</f>
        <v>148.125</v>
      </c>
      <c r="I24" s="1" t="s">
        <v>73</v>
      </c>
      <c r="J24" s="1">
        <v>390</v>
      </c>
      <c r="K24" s="1">
        <v>100</v>
      </c>
      <c r="L24" s="5">
        <f>1255/7</f>
        <v>179.28571428571428</v>
      </c>
    </row>
    <row r="25" spans="1:12" x14ac:dyDescent="0.25">
      <c r="A25" s="1" t="s">
        <v>17</v>
      </c>
      <c r="B25" s="1" t="s">
        <v>32</v>
      </c>
      <c r="C25" s="5">
        <f>133+91+105+85+110</f>
        <v>524</v>
      </c>
      <c r="D25" s="5">
        <f>C25/5</f>
        <v>104.8</v>
      </c>
      <c r="E25" s="5">
        <v>133</v>
      </c>
      <c r="F25" s="5">
        <v>28</v>
      </c>
      <c r="G25" s="5">
        <f>705/8</f>
        <v>88.125</v>
      </c>
      <c r="I25" s="1" t="s">
        <v>31</v>
      </c>
      <c r="J25" s="1">
        <v>253</v>
      </c>
      <c r="K25" s="1">
        <v>28</v>
      </c>
      <c r="L25" s="5">
        <f>1525/11</f>
        <v>138.63636363636363</v>
      </c>
    </row>
    <row r="26" spans="1:12" x14ac:dyDescent="0.25">
      <c r="A26" s="1" t="s">
        <v>52</v>
      </c>
      <c r="B26" s="1" t="s">
        <v>32</v>
      </c>
      <c r="C26" s="5">
        <f>94+188+31+105+160+101</f>
        <v>679</v>
      </c>
      <c r="D26" s="5">
        <f>C26/6</f>
        <v>113.16666666666667</v>
      </c>
      <c r="E26" s="5">
        <v>188</v>
      </c>
      <c r="F26" s="5">
        <v>31</v>
      </c>
      <c r="G26" s="5">
        <f>857/8</f>
        <v>107.125</v>
      </c>
      <c r="I26" s="1" t="s">
        <v>73</v>
      </c>
      <c r="J26" s="1">
        <v>367</v>
      </c>
      <c r="K26" s="1">
        <v>31</v>
      </c>
      <c r="L26" s="5">
        <f>1204/7</f>
        <v>172</v>
      </c>
    </row>
    <row r="27" spans="1:12" x14ac:dyDescent="0.25">
      <c r="A27" s="1" t="s">
        <v>24</v>
      </c>
      <c r="B27" s="1" t="s">
        <v>33</v>
      </c>
      <c r="C27" s="5">
        <f>(339+204+204+351)</f>
        <v>1098</v>
      </c>
      <c r="D27" s="5">
        <f>C27/4</f>
        <v>274.5</v>
      </c>
      <c r="E27" s="5">
        <v>412</v>
      </c>
      <c r="F27" s="5">
        <v>204</v>
      </c>
      <c r="G27" s="5">
        <f>2005/6</f>
        <v>334.16666666666669</v>
      </c>
      <c r="I27" s="1" t="s">
        <v>30</v>
      </c>
      <c r="J27" s="1">
        <v>457</v>
      </c>
      <c r="K27" s="1">
        <v>204</v>
      </c>
      <c r="L27" s="5">
        <f>3938/11</f>
        <v>358</v>
      </c>
    </row>
    <row r="28" spans="1:12" x14ac:dyDescent="0.25">
      <c r="A28" s="1" t="s">
        <v>21</v>
      </c>
      <c r="B28" s="1" t="s">
        <v>33</v>
      </c>
      <c r="C28" s="5">
        <f>(96+142+412+182+96)</f>
        <v>928</v>
      </c>
      <c r="D28" s="5">
        <f>C28/5</f>
        <v>185.6</v>
      </c>
      <c r="E28" s="5">
        <v>412</v>
      </c>
      <c r="F28" s="5">
        <v>96</v>
      </c>
      <c r="G28" s="5">
        <f>1238/6</f>
        <v>206.33333333333334</v>
      </c>
      <c r="I28" s="1" t="s">
        <v>30</v>
      </c>
      <c r="J28" s="1">
        <v>412</v>
      </c>
      <c r="K28" s="1">
        <v>96</v>
      </c>
      <c r="L28" s="5">
        <f>2518/11</f>
        <v>228.90909090909091</v>
      </c>
    </row>
    <row r="29" spans="1:12" x14ac:dyDescent="0.25">
      <c r="A29" s="1" t="s">
        <v>20</v>
      </c>
      <c r="B29" s="1" t="s">
        <v>33</v>
      </c>
      <c r="C29" s="5">
        <f>(158+274+142+351)</f>
        <v>925</v>
      </c>
      <c r="D29" s="5">
        <f>C29/4</f>
        <v>231.25</v>
      </c>
      <c r="E29" s="5">
        <v>351</v>
      </c>
      <c r="F29" s="5">
        <v>109</v>
      </c>
      <c r="G29" s="5">
        <f>1146/6</f>
        <v>191</v>
      </c>
      <c r="I29" s="1" t="s">
        <v>30</v>
      </c>
      <c r="J29" s="1">
        <v>351</v>
      </c>
      <c r="K29" s="1">
        <v>39</v>
      </c>
      <c r="L29" s="5">
        <f>1652/11</f>
        <v>150.18181818181819</v>
      </c>
    </row>
    <row r="30" spans="1:12" x14ac:dyDescent="0.25">
      <c r="A30" s="1" t="s">
        <v>71</v>
      </c>
      <c r="B30" s="1" t="s">
        <v>33</v>
      </c>
      <c r="C30" s="5">
        <f>(348+158+158+125+248)</f>
        <v>1037</v>
      </c>
      <c r="D30" s="5">
        <f>C30/5</f>
        <v>207.4</v>
      </c>
      <c r="E30" s="5">
        <v>348</v>
      </c>
      <c r="F30" s="5">
        <v>32</v>
      </c>
      <c r="G30" s="5">
        <f>994/6</f>
        <v>165.66666666666666</v>
      </c>
      <c r="I30" s="1" t="s">
        <v>30</v>
      </c>
      <c r="J30" s="1">
        <v>348</v>
      </c>
      <c r="K30" s="1">
        <v>32</v>
      </c>
      <c r="L30" s="5">
        <f>1897/11</f>
        <v>172.45454545454547</v>
      </c>
    </row>
    <row r="31" spans="1:12" x14ac:dyDescent="0.25">
      <c r="A31" s="1" t="s">
        <v>19</v>
      </c>
      <c r="B31" s="1" t="s">
        <v>33</v>
      </c>
      <c r="C31" s="5">
        <f>(32+251+112+110)</f>
        <v>505</v>
      </c>
      <c r="D31" s="5">
        <f>C31/4</f>
        <v>126.25</v>
      </c>
      <c r="E31" s="5">
        <v>351</v>
      </c>
      <c r="F31" s="5">
        <v>32</v>
      </c>
      <c r="G31" s="5">
        <f>1038/6</f>
        <v>173</v>
      </c>
      <c r="I31" s="1" t="s">
        <v>30</v>
      </c>
      <c r="J31" s="1">
        <v>351</v>
      </c>
      <c r="K31" s="1">
        <v>32</v>
      </c>
      <c r="L31" s="5">
        <f>1805/11</f>
        <v>164.09090909090909</v>
      </c>
    </row>
    <row r="32" spans="1:12" x14ac:dyDescent="0.25">
      <c r="A32" s="1" t="s">
        <v>46</v>
      </c>
      <c r="B32" s="1" t="s">
        <v>33</v>
      </c>
      <c r="C32" s="5">
        <f>(204+251+204+189)</f>
        <v>848</v>
      </c>
      <c r="D32" s="5">
        <f>C32/4</f>
        <v>212</v>
      </c>
      <c r="E32" s="5">
        <v>281</v>
      </c>
      <c r="F32" s="5">
        <v>189</v>
      </c>
      <c r="G32" s="5">
        <f>1447/6</f>
        <v>241.16666666666666</v>
      </c>
      <c r="I32" s="1" t="s">
        <v>30</v>
      </c>
      <c r="J32" s="1">
        <v>430</v>
      </c>
      <c r="K32" s="1">
        <v>189</v>
      </c>
      <c r="L32" s="5">
        <f>3264/11</f>
        <v>296.72727272727275</v>
      </c>
    </row>
    <row r="33" spans="1:17" x14ac:dyDescent="0.25">
      <c r="A33" s="1" t="s">
        <v>47</v>
      </c>
      <c r="B33" s="1" t="s">
        <v>33</v>
      </c>
      <c r="C33" s="5">
        <f>(110+96+339+109)</f>
        <v>654</v>
      </c>
      <c r="D33" s="5">
        <f>C33/4</f>
        <v>163.5</v>
      </c>
      <c r="E33" s="5">
        <v>339</v>
      </c>
      <c r="F33" s="5">
        <v>83</v>
      </c>
      <c r="G33" s="5">
        <f>926/6</f>
        <v>154.33333333333334</v>
      </c>
      <c r="I33" s="1" t="s">
        <v>30</v>
      </c>
      <c r="J33" s="1">
        <v>339</v>
      </c>
      <c r="K33" s="1">
        <v>96</v>
      </c>
      <c r="L33" s="5">
        <f>2092/11</f>
        <v>190.18181818181819</v>
      </c>
    </row>
    <row r="35" spans="1:17" x14ac:dyDescent="0.25">
      <c r="A35" s="3" t="s">
        <v>63</v>
      </c>
      <c r="B35" s="3" t="s">
        <v>65</v>
      </c>
      <c r="C35" s="6">
        <f>SUM(C2:C33)</f>
        <v>23241</v>
      </c>
      <c r="D35" s="6">
        <f t="shared" ref="D35:G35" si="0">SUM(D2:D33)</f>
        <v>4913.1666666666661</v>
      </c>
      <c r="E35" s="6">
        <f t="shared" si="0"/>
        <v>9504</v>
      </c>
      <c r="F35" s="6">
        <f t="shared" si="0"/>
        <v>2085</v>
      </c>
      <c r="G35" s="6">
        <f t="shared" si="0"/>
        <v>5128.958333333333</v>
      </c>
      <c r="H35" s="3"/>
      <c r="I35" s="3"/>
      <c r="J35" s="3"/>
    </row>
    <row r="38" spans="1:17" s="7" customFormat="1" x14ac:dyDescent="0.25">
      <c r="A38" s="7" t="s">
        <v>75</v>
      </c>
      <c r="C38" s="9" t="s">
        <v>30</v>
      </c>
      <c r="D38" s="10" t="s">
        <v>1</v>
      </c>
      <c r="E38" s="10" t="s">
        <v>76</v>
      </c>
      <c r="F38" s="10" t="s">
        <v>0</v>
      </c>
      <c r="G38" s="10" t="s">
        <v>5</v>
      </c>
      <c r="H38" s="10" t="s">
        <v>54</v>
      </c>
      <c r="I38" s="10" t="s">
        <v>24</v>
      </c>
      <c r="J38" s="10" t="s">
        <v>21</v>
      </c>
      <c r="K38" s="10" t="s">
        <v>20</v>
      </c>
      <c r="L38" s="10" t="s">
        <v>71</v>
      </c>
      <c r="M38" s="10" t="s">
        <v>19</v>
      </c>
      <c r="N38" s="10" t="s">
        <v>46</v>
      </c>
      <c r="O38" s="10" t="s">
        <v>47</v>
      </c>
      <c r="P38" s="10"/>
      <c r="Q38" s="10"/>
    </row>
    <row r="39" spans="1:17" x14ac:dyDescent="0.25">
      <c r="C39" s="10" t="s">
        <v>1</v>
      </c>
      <c r="D39" s="11" t="s">
        <v>77</v>
      </c>
      <c r="E39" s="11">
        <v>134</v>
      </c>
      <c r="F39" s="11">
        <v>163</v>
      </c>
      <c r="G39" s="11">
        <v>110</v>
      </c>
      <c r="H39" s="11">
        <v>75</v>
      </c>
      <c r="I39" s="11">
        <v>290</v>
      </c>
      <c r="J39" s="11">
        <v>227</v>
      </c>
      <c r="K39" s="11">
        <v>39</v>
      </c>
      <c r="L39" s="1">
        <v>192</v>
      </c>
      <c r="M39" s="1">
        <v>152</v>
      </c>
      <c r="N39" s="1">
        <v>332</v>
      </c>
      <c r="O39" s="1">
        <v>204</v>
      </c>
    </row>
    <row r="40" spans="1:17" x14ac:dyDescent="0.25">
      <c r="C40" s="10" t="s">
        <v>76</v>
      </c>
      <c r="D40" s="11">
        <v>134</v>
      </c>
      <c r="E40" s="1" t="s">
        <v>77</v>
      </c>
      <c r="F40" s="11">
        <v>51</v>
      </c>
      <c r="G40" s="11">
        <v>145</v>
      </c>
      <c r="H40" s="11">
        <v>92</v>
      </c>
      <c r="I40" s="11">
        <v>424</v>
      </c>
      <c r="J40" s="11">
        <v>206</v>
      </c>
      <c r="K40" s="11">
        <v>106</v>
      </c>
      <c r="L40" s="1">
        <v>83</v>
      </c>
      <c r="M40" s="1">
        <v>97</v>
      </c>
      <c r="N40" s="1">
        <v>322</v>
      </c>
      <c r="O40" s="1">
        <v>183</v>
      </c>
    </row>
    <row r="41" spans="1:17" x14ac:dyDescent="0.25">
      <c r="C41" s="10" t="s">
        <v>0</v>
      </c>
      <c r="D41" s="11">
        <v>163</v>
      </c>
      <c r="E41" s="11">
        <v>51</v>
      </c>
      <c r="F41" s="11" t="s">
        <v>77</v>
      </c>
      <c r="G41" s="11">
        <v>145</v>
      </c>
      <c r="H41" s="11">
        <v>94</v>
      </c>
      <c r="I41" s="11">
        <v>457</v>
      </c>
      <c r="J41" s="11">
        <v>239</v>
      </c>
      <c r="K41" s="11">
        <v>138</v>
      </c>
      <c r="L41" s="1">
        <v>166</v>
      </c>
      <c r="M41" s="1">
        <v>129</v>
      </c>
      <c r="N41" s="1">
        <v>355</v>
      </c>
      <c r="O41" s="1">
        <v>216</v>
      </c>
    </row>
    <row r="42" spans="1:17" x14ac:dyDescent="0.25">
      <c r="C42" s="10" t="s">
        <v>5</v>
      </c>
      <c r="D42" s="11">
        <v>110</v>
      </c>
      <c r="E42" s="11">
        <v>145</v>
      </c>
      <c r="F42" s="11">
        <v>145</v>
      </c>
      <c r="G42" s="11" t="s">
        <v>77</v>
      </c>
      <c r="H42" s="11">
        <v>63</v>
      </c>
      <c r="I42" s="11">
        <v>395</v>
      </c>
      <c r="J42" s="11">
        <v>346</v>
      </c>
      <c r="K42" s="11">
        <v>138</v>
      </c>
      <c r="L42" s="1">
        <v>273</v>
      </c>
      <c r="M42" s="1">
        <v>236</v>
      </c>
      <c r="N42" s="1">
        <v>430</v>
      </c>
      <c r="O42" s="1">
        <v>323</v>
      </c>
    </row>
    <row r="43" spans="1:17" x14ac:dyDescent="0.25">
      <c r="C43" s="10" t="s">
        <v>54</v>
      </c>
      <c r="D43" s="11">
        <v>75</v>
      </c>
      <c r="E43" s="11">
        <v>92</v>
      </c>
      <c r="F43" s="11">
        <v>94</v>
      </c>
      <c r="G43" s="11">
        <v>63</v>
      </c>
      <c r="H43" s="11" t="s">
        <v>77</v>
      </c>
      <c r="I43" s="11">
        <v>367</v>
      </c>
      <c r="J43" s="11">
        <v>262</v>
      </c>
      <c r="K43" s="11">
        <v>85</v>
      </c>
      <c r="L43" s="1">
        <v>189</v>
      </c>
      <c r="M43" s="1">
        <v>153</v>
      </c>
      <c r="N43" s="1">
        <v>378</v>
      </c>
      <c r="O43" s="1">
        <v>240</v>
      </c>
    </row>
    <row r="44" spans="1:17" x14ac:dyDescent="0.25">
      <c r="C44" s="10" t="s">
        <v>24</v>
      </c>
      <c r="D44" s="11">
        <v>290</v>
      </c>
      <c r="E44" s="11">
        <v>424</v>
      </c>
      <c r="F44" s="11">
        <v>457</v>
      </c>
      <c r="G44" s="11">
        <v>395</v>
      </c>
      <c r="H44" s="11">
        <v>367</v>
      </c>
      <c r="I44" s="11" t="s">
        <v>77</v>
      </c>
      <c r="J44" s="11">
        <v>412</v>
      </c>
      <c r="K44" s="11">
        <v>351</v>
      </c>
      <c r="L44" s="1">
        <v>348</v>
      </c>
      <c r="M44" s="1">
        <v>351</v>
      </c>
      <c r="N44" s="1">
        <v>204</v>
      </c>
      <c r="O44" s="1">
        <v>339</v>
      </c>
    </row>
    <row r="45" spans="1:17" x14ac:dyDescent="0.25">
      <c r="C45" s="10" t="s">
        <v>21</v>
      </c>
      <c r="D45" s="11">
        <v>227</v>
      </c>
      <c r="E45" s="11">
        <v>206</v>
      </c>
      <c r="F45" s="11">
        <v>239</v>
      </c>
      <c r="G45" s="11">
        <v>346</v>
      </c>
      <c r="H45" s="11">
        <v>262</v>
      </c>
      <c r="I45" s="11">
        <v>412</v>
      </c>
      <c r="J45" s="11" t="s">
        <v>77</v>
      </c>
      <c r="K45" s="11">
        <v>142</v>
      </c>
      <c r="L45" s="1">
        <v>125</v>
      </c>
      <c r="M45" s="1">
        <v>182</v>
      </c>
      <c r="N45" s="1">
        <v>281</v>
      </c>
      <c r="O45" s="1">
        <v>96</v>
      </c>
    </row>
    <row r="46" spans="1:17" x14ac:dyDescent="0.25">
      <c r="C46" s="10" t="s">
        <v>20</v>
      </c>
      <c r="D46" s="11">
        <v>39</v>
      </c>
      <c r="E46" s="11">
        <v>106</v>
      </c>
      <c r="F46" s="11">
        <v>138</v>
      </c>
      <c r="G46" s="11">
        <v>138</v>
      </c>
      <c r="H46" s="11">
        <v>85</v>
      </c>
      <c r="I46" s="11">
        <v>351</v>
      </c>
      <c r="J46" s="11">
        <v>142</v>
      </c>
      <c r="K46" s="11" t="s">
        <v>77</v>
      </c>
      <c r="L46" s="1">
        <v>158</v>
      </c>
      <c r="M46" s="1">
        <v>112</v>
      </c>
      <c r="N46" s="1">
        <v>274</v>
      </c>
      <c r="O46" s="1">
        <v>109</v>
      </c>
    </row>
    <row r="47" spans="1:17" x14ac:dyDescent="0.25">
      <c r="C47" s="10" t="s">
        <v>71</v>
      </c>
      <c r="D47" s="11">
        <v>192</v>
      </c>
      <c r="E47" s="11">
        <v>83</v>
      </c>
      <c r="F47" s="11">
        <v>166</v>
      </c>
      <c r="G47" s="11">
        <v>273</v>
      </c>
      <c r="H47" s="11">
        <v>189</v>
      </c>
      <c r="I47" s="11">
        <v>348</v>
      </c>
      <c r="J47" s="11">
        <v>125</v>
      </c>
      <c r="K47" s="11">
        <v>158</v>
      </c>
      <c r="L47" s="1" t="s">
        <v>77</v>
      </c>
      <c r="M47" s="1">
        <v>32</v>
      </c>
      <c r="N47" s="1">
        <v>248</v>
      </c>
      <c r="O47" s="1">
        <v>83</v>
      </c>
    </row>
    <row r="48" spans="1:17" x14ac:dyDescent="0.25">
      <c r="C48" s="10" t="s">
        <v>19</v>
      </c>
      <c r="D48" s="11">
        <v>152</v>
      </c>
      <c r="E48" s="11">
        <v>97</v>
      </c>
      <c r="F48" s="11">
        <v>129</v>
      </c>
      <c r="G48" s="11">
        <v>236</v>
      </c>
      <c r="H48" s="11">
        <v>153</v>
      </c>
      <c r="I48" s="11">
        <v>351</v>
      </c>
      <c r="J48" s="11">
        <v>182</v>
      </c>
      <c r="K48" s="11">
        <v>112</v>
      </c>
      <c r="L48" s="1">
        <v>32</v>
      </c>
      <c r="M48" s="1" t="s">
        <v>77</v>
      </c>
      <c r="N48" s="1">
        <v>251</v>
      </c>
      <c r="O48" s="1">
        <v>110</v>
      </c>
    </row>
    <row r="49" spans="3:15" x14ac:dyDescent="0.25">
      <c r="C49" s="10" t="s">
        <v>46</v>
      </c>
      <c r="D49" s="11">
        <v>332</v>
      </c>
      <c r="E49" s="11">
        <v>322</v>
      </c>
      <c r="F49" s="11">
        <v>355</v>
      </c>
      <c r="G49" s="11">
        <v>430</v>
      </c>
      <c r="H49" s="11">
        <v>378</v>
      </c>
      <c r="I49" s="11">
        <v>204</v>
      </c>
      <c r="J49" s="11">
        <v>281</v>
      </c>
      <c r="K49" s="11">
        <v>274</v>
      </c>
      <c r="L49" s="1">
        <v>248</v>
      </c>
      <c r="M49" s="1">
        <v>251</v>
      </c>
      <c r="N49" s="1" t="s">
        <v>77</v>
      </c>
      <c r="O49" s="1">
        <v>189</v>
      </c>
    </row>
    <row r="50" spans="3:15" x14ac:dyDescent="0.25">
      <c r="C50" s="10" t="s">
        <v>47</v>
      </c>
      <c r="D50" s="11">
        <v>204</v>
      </c>
      <c r="E50" s="11">
        <v>183</v>
      </c>
      <c r="F50" s="11">
        <v>216</v>
      </c>
      <c r="G50" s="11">
        <v>323</v>
      </c>
      <c r="H50" s="11">
        <v>240</v>
      </c>
      <c r="I50" s="11">
        <v>339</v>
      </c>
      <c r="J50" s="11">
        <v>96</v>
      </c>
      <c r="K50" s="11">
        <v>109</v>
      </c>
      <c r="L50" s="1">
        <v>83</v>
      </c>
      <c r="M50" s="1">
        <v>110</v>
      </c>
      <c r="N50" s="1">
        <v>189</v>
      </c>
      <c r="O50" s="1" t="s">
        <v>77</v>
      </c>
    </row>
    <row r="52" spans="3:15" s="10" customFormat="1" x14ac:dyDescent="0.25">
      <c r="C52" s="9" t="s">
        <v>73</v>
      </c>
      <c r="D52" s="10" t="s">
        <v>36</v>
      </c>
      <c r="E52" s="10" t="s">
        <v>37</v>
      </c>
      <c r="F52" s="10" t="s">
        <v>50</v>
      </c>
      <c r="G52" s="10" t="s">
        <v>16</v>
      </c>
      <c r="H52" s="10" t="s">
        <v>51</v>
      </c>
      <c r="I52" s="10" t="s">
        <v>52</v>
      </c>
      <c r="J52" s="10" t="s">
        <v>78</v>
      </c>
      <c r="K52" s="10" t="s">
        <v>38</v>
      </c>
    </row>
    <row r="53" spans="3:15" x14ac:dyDescent="0.25">
      <c r="C53" s="10" t="s">
        <v>36</v>
      </c>
      <c r="D53" s="11" t="s">
        <v>77</v>
      </c>
      <c r="E53" s="11">
        <v>62</v>
      </c>
      <c r="F53" s="11">
        <v>226</v>
      </c>
      <c r="G53" s="11">
        <v>221</v>
      </c>
      <c r="H53" s="11">
        <v>132</v>
      </c>
      <c r="I53" s="11">
        <v>233</v>
      </c>
      <c r="J53" s="11">
        <v>476</v>
      </c>
      <c r="K53" s="11">
        <v>352</v>
      </c>
    </row>
    <row r="54" spans="3:15" x14ac:dyDescent="0.25">
      <c r="C54" s="10" t="s">
        <v>37</v>
      </c>
      <c r="D54" s="11">
        <v>62</v>
      </c>
      <c r="E54" s="11" t="s">
        <v>77</v>
      </c>
      <c r="F54" s="11">
        <v>281</v>
      </c>
      <c r="G54" s="11">
        <v>277</v>
      </c>
      <c r="H54" s="11">
        <v>193</v>
      </c>
      <c r="I54" s="11">
        <v>288</v>
      </c>
      <c r="J54" s="11">
        <v>494</v>
      </c>
      <c r="K54" s="11">
        <v>407</v>
      </c>
    </row>
    <row r="55" spans="3:15" x14ac:dyDescent="0.25">
      <c r="C55" s="10" t="s">
        <v>50</v>
      </c>
      <c r="D55" s="11">
        <v>226</v>
      </c>
      <c r="E55" s="11">
        <v>281</v>
      </c>
      <c r="F55" s="11" t="s">
        <v>77</v>
      </c>
      <c r="G55" s="11">
        <v>30</v>
      </c>
      <c r="H55" s="11">
        <v>107</v>
      </c>
      <c r="I55" s="11">
        <v>61</v>
      </c>
      <c r="J55" s="11">
        <v>399</v>
      </c>
      <c r="K55" s="11">
        <v>170</v>
      </c>
    </row>
    <row r="56" spans="3:15" x14ac:dyDescent="0.25">
      <c r="C56" s="10" t="s">
        <v>16</v>
      </c>
      <c r="D56" s="11">
        <v>221</v>
      </c>
      <c r="E56" s="11">
        <v>277</v>
      </c>
      <c r="F56" s="11">
        <v>30</v>
      </c>
      <c r="G56" s="11" t="s">
        <v>77</v>
      </c>
      <c r="H56" s="11">
        <v>100</v>
      </c>
      <c r="I56" s="11">
        <v>31</v>
      </c>
      <c r="J56" s="11">
        <v>380</v>
      </c>
      <c r="K56" s="11">
        <v>139</v>
      </c>
    </row>
    <row r="57" spans="3:15" x14ac:dyDescent="0.25">
      <c r="C57" s="10" t="s">
        <v>51</v>
      </c>
      <c r="D57" s="11">
        <v>132</v>
      </c>
      <c r="E57" s="11">
        <v>193</v>
      </c>
      <c r="F57" s="11">
        <v>107</v>
      </c>
      <c r="G57" s="11">
        <v>100</v>
      </c>
      <c r="H57" s="11" t="s">
        <v>77</v>
      </c>
      <c r="I57" s="11">
        <v>113</v>
      </c>
      <c r="J57" s="11">
        <v>390</v>
      </c>
      <c r="K57" s="11">
        <v>222</v>
      </c>
    </row>
    <row r="58" spans="3:15" x14ac:dyDescent="0.25">
      <c r="C58" s="10" t="s">
        <v>52</v>
      </c>
      <c r="D58" s="11">
        <v>233</v>
      </c>
      <c r="E58" s="11">
        <v>288</v>
      </c>
      <c r="F58" s="11">
        <v>61</v>
      </c>
      <c r="G58" s="11">
        <v>31</v>
      </c>
      <c r="H58" s="11">
        <v>113</v>
      </c>
      <c r="I58" s="11" t="s">
        <v>77</v>
      </c>
      <c r="J58" s="11">
        <v>367</v>
      </c>
      <c r="K58" s="11">
        <v>111</v>
      </c>
    </row>
    <row r="59" spans="3:15" x14ac:dyDescent="0.25">
      <c r="C59" s="10" t="s">
        <v>78</v>
      </c>
      <c r="D59" s="11">
        <v>476</v>
      </c>
      <c r="E59" s="11">
        <v>494</v>
      </c>
      <c r="F59" s="11">
        <v>399</v>
      </c>
      <c r="G59" s="11">
        <v>380</v>
      </c>
      <c r="H59" s="11">
        <v>390</v>
      </c>
      <c r="I59" s="11">
        <v>367</v>
      </c>
      <c r="J59" s="11" t="s">
        <v>77</v>
      </c>
      <c r="K59" s="11">
        <v>283</v>
      </c>
    </row>
    <row r="60" spans="3:15" x14ac:dyDescent="0.25">
      <c r="C60" s="10" t="s">
        <v>38</v>
      </c>
      <c r="D60" s="11">
        <v>352</v>
      </c>
      <c r="E60" s="11">
        <v>407</v>
      </c>
      <c r="F60" s="11">
        <v>170</v>
      </c>
      <c r="G60" s="11">
        <v>139</v>
      </c>
      <c r="H60" s="11">
        <v>222</v>
      </c>
      <c r="I60" s="11">
        <v>111</v>
      </c>
      <c r="J60" s="11">
        <v>283</v>
      </c>
      <c r="K60" s="11" t="s">
        <v>77</v>
      </c>
    </row>
    <row r="62" spans="3:15" s="7" customFormat="1" x14ac:dyDescent="0.25">
      <c r="C62" s="9" t="s">
        <v>31</v>
      </c>
      <c r="D62" s="10" t="s">
        <v>58</v>
      </c>
      <c r="E62" s="10" t="s">
        <v>18</v>
      </c>
      <c r="F62" s="10" t="s">
        <v>44</v>
      </c>
      <c r="G62" s="10" t="s">
        <v>60</v>
      </c>
      <c r="H62" s="10" t="s">
        <v>17</v>
      </c>
      <c r="I62" s="10" t="s">
        <v>11</v>
      </c>
      <c r="J62" s="10" t="s">
        <v>79</v>
      </c>
      <c r="K62" s="10" t="s">
        <v>41</v>
      </c>
      <c r="L62" s="10" t="s">
        <v>39</v>
      </c>
      <c r="M62" s="10" t="s">
        <v>15</v>
      </c>
      <c r="N62" s="10" t="s">
        <v>57</v>
      </c>
    </row>
    <row r="63" spans="3:15" x14ac:dyDescent="0.25">
      <c r="C63" s="10" t="s">
        <v>58</v>
      </c>
      <c r="D63" s="11" t="s">
        <v>77</v>
      </c>
      <c r="E63" s="11">
        <v>24</v>
      </c>
      <c r="F63" s="11">
        <v>100</v>
      </c>
      <c r="G63" s="11">
        <v>115</v>
      </c>
      <c r="H63" s="11">
        <v>133</v>
      </c>
      <c r="I63" s="11">
        <v>35</v>
      </c>
      <c r="J63" s="11">
        <v>63</v>
      </c>
      <c r="K63" s="11">
        <v>74</v>
      </c>
      <c r="L63" s="11">
        <v>158</v>
      </c>
      <c r="M63" s="11">
        <v>71</v>
      </c>
      <c r="N63" s="11">
        <v>53</v>
      </c>
    </row>
    <row r="64" spans="3:15" x14ac:dyDescent="0.25">
      <c r="C64" s="10" t="s">
        <v>18</v>
      </c>
      <c r="D64" s="11">
        <v>24</v>
      </c>
      <c r="E64" s="11" t="s">
        <v>77</v>
      </c>
      <c r="F64" s="11">
        <v>74</v>
      </c>
      <c r="G64" s="11">
        <v>89</v>
      </c>
      <c r="H64" s="11">
        <v>110</v>
      </c>
      <c r="I64" s="11">
        <v>37</v>
      </c>
      <c r="J64" s="11">
        <v>65</v>
      </c>
      <c r="K64" s="11">
        <v>99</v>
      </c>
      <c r="L64" s="11">
        <v>200</v>
      </c>
      <c r="M64" s="11">
        <v>13</v>
      </c>
      <c r="N64" s="11">
        <v>61</v>
      </c>
    </row>
    <row r="65" spans="3:14" x14ac:dyDescent="0.25">
      <c r="C65" s="10" t="s">
        <v>44</v>
      </c>
      <c r="D65" s="11">
        <v>100</v>
      </c>
      <c r="E65" s="11">
        <v>74</v>
      </c>
      <c r="F65" s="11" t="s">
        <v>77</v>
      </c>
      <c r="G65" s="11">
        <v>23</v>
      </c>
      <c r="H65" s="11">
        <v>50</v>
      </c>
      <c r="I65" s="11">
        <v>122</v>
      </c>
      <c r="J65" s="11">
        <v>140</v>
      </c>
      <c r="K65" s="11">
        <v>119</v>
      </c>
      <c r="L65" s="11">
        <v>219</v>
      </c>
      <c r="M65" s="11">
        <v>82</v>
      </c>
      <c r="N65" s="11">
        <v>136</v>
      </c>
    </row>
    <row r="66" spans="3:14" x14ac:dyDescent="0.25">
      <c r="C66" s="10" t="s">
        <v>60</v>
      </c>
      <c r="D66" s="11">
        <v>115</v>
      </c>
      <c r="E66" s="11">
        <v>89</v>
      </c>
      <c r="F66" s="11">
        <v>23</v>
      </c>
      <c r="G66" s="11" t="s">
        <v>77</v>
      </c>
      <c r="H66" s="11">
        <v>28</v>
      </c>
      <c r="I66" s="11">
        <v>142</v>
      </c>
      <c r="J66" s="11">
        <v>165</v>
      </c>
      <c r="K66" s="11">
        <v>138</v>
      </c>
      <c r="L66" s="11">
        <v>239</v>
      </c>
      <c r="M66" s="11">
        <v>102</v>
      </c>
      <c r="N66" s="11">
        <v>155</v>
      </c>
    </row>
    <row r="67" spans="3:14" x14ac:dyDescent="0.25">
      <c r="C67" s="10" t="s">
        <v>17</v>
      </c>
      <c r="D67" s="11">
        <v>133</v>
      </c>
      <c r="E67" s="11">
        <v>110</v>
      </c>
      <c r="F67" s="11">
        <v>50</v>
      </c>
      <c r="G67" s="11">
        <v>28</v>
      </c>
      <c r="H67" s="11" t="s">
        <v>77</v>
      </c>
      <c r="I67" s="11">
        <v>156</v>
      </c>
      <c r="J67" s="11">
        <v>178</v>
      </c>
      <c r="K67" s="11">
        <v>152</v>
      </c>
      <c r="L67" s="11">
        <v>253</v>
      </c>
      <c r="M67" s="11">
        <v>118</v>
      </c>
      <c r="N67" s="11">
        <v>169</v>
      </c>
    </row>
    <row r="68" spans="3:14" x14ac:dyDescent="0.25">
      <c r="C68" s="10" t="s">
        <v>11</v>
      </c>
      <c r="D68" s="11">
        <v>35</v>
      </c>
      <c r="E68" s="11">
        <v>37</v>
      </c>
      <c r="F68" s="11">
        <v>122</v>
      </c>
      <c r="G68" s="11">
        <v>142</v>
      </c>
      <c r="H68" s="11">
        <v>156</v>
      </c>
      <c r="I68" s="11" t="s">
        <v>77</v>
      </c>
      <c r="J68" s="11">
        <v>45</v>
      </c>
      <c r="K68" s="11">
        <v>77</v>
      </c>
      <c r="L68" s="11">
        <v>177</v>
      </c>
      <c r="M68" s="11">
        <v>27</v>
      </c>
      <c r="N68" s="11">
        <v>33</v>
      </c>
    </row>
    <row r="69" spans="3:14" x14ac:dyDescent="0.25">
      <c r="C69" s="10" t="s">
        <v>79</v>
      </c>
      <c r="D69" s="11">
        <v>63</v>
      </c>
      <c r="E69" s="11">
        <v>65</v>
      </c>
      <c r="F69" s="11">
        <v>140</v>
      </c>
      <c r="G69" s="11">
        <v>165</v>
      </c>
      <c r="H69" s="11">
        <v>178</v>
      </c>
      <c r="I69" s="11">
        <v>45</v>
      </c>
      <c r="J69" s="11" t="s">
        <v>77</v>
      </c>
      <c r="K69" s="11">
        <v>113</v>
      </c>
      <c r="L69" s="11">
        <v>214</v>
      </c>
      <c r="M69" s="11">
        <v>55</v>
      </c>
      <c r="N69" s="11">
        <v>14</v>
      </c>
    </row>
    <row r="70" spans="3:14" x14ac:dyDescent="0.25">
      <c r="C70" s="10" t="s">
        <v>41</v>
      </c>
      <c r="D70" s="11">
        <v>74</v>
      </c>
      <c r="E70" s="11">
        <v>99</v>
      </c>
      <c r="F70" s="11">
        <v>119</v>
      </c>
      <c r="G70" s="11">
        <v>138</v>
      </c>
      <c r="H70" s="11">
        <v>152</v>
      </c>
      <c r="I70" s="11">
        <v>77</v>
      </c>
      <c r="J70" s="11">
        <v>113</v>
      </c>
      <c r="K70" s="11" t="s">
        <v>77</v>
      </c>
      <c r="L70" s="11">
        <v>124</v>
      </c>
      <c r="M70" s="11">
        <v>103</v>
      </c>
      <c r="N70" s="11">
        <v>101</v>
      </c>
    </row>
    <row r="71" spans="3:14" x14ac:dyDescent="0.25">
      <c r="C71" s="10" t="s">
        <v>39</v>
      </c>
      <c r="D71" s="11">
        <v>158</v>
      </c>
      <c r="E71" s="11">
        <v>200</v>
      </c>
      <c r="F71" s="11">
        <v>219</v>
      </c>
      <c r="G71" s="11">
        <v>239</v>
      </c>
      <c r="H71" s="11">
        <v>253</v>
      </c>
      <c r="I71" s="11">
        <v>177</v>
      </c>
      <c r="J71" s="11">
        <v>214</v>
      </c>
      <c r="K71" s="11">
        <v>124</v>
      </c>
      <c r="L71" s="11" t="s">
        <v>77</v>
      </c>
      <c r="M71" s="11">
        <v>203</v>
      </c>
      <c r="N71" s="11">
        <v>203</v>
      </c>
    </row>
    <row r="72" spans="3:14" x14ac:dyDescent="0.25">
      <c r="C72" s="10" t="s">
        <v>15</v>
      </c>
      <c r="D72" s="11">
        <v>71</v>
      </c>
      <c r="E72" s="11">
        <v>13</v>
      </c>
      <c r="F72" s="11">
        <v>82</v>
      </c>
      <c r="G72" s="11">
        <v>102</v>
      </c>
      <c r="H72" s="11">
        <v>118</v>
      </c>
      <c r="I72" s="11">
        <v>27</v>
      </c>
      <c r="J72" s="11">
        <v>55</v>
      </c>
      <c r="K72" s="11">
        <v>103</v>
      </c>
      <c r="L72" s="11">
        <v>203</v>
      </c>
      <c r="M72" s="11" t="s">
        <v>77</v>
      </c>
      <c r="N72" s="11">
        <v>50</v>
      </c>
    </row>
    <row r="73" spans="3:14" x14ac:dyDescent="0.25">
      <c r="C73" s="10" t="s">
        <v>57</v>
      </c>
      <c r="D73" s="11">
        <v>53</v>
      </c>
      <c r="E73" s="11">
        <v>61</v>
      </c>
      <c r="F73" s="11">
        <v>136</v>
      </c>
      <c r="G73" s="11">
        <v>155</v>
      </c>
      <c r="H73" s="11">
        <v>169</v>
      </c>
      <c r="I73" s="11">
        <v>33</v>
      </c>
      <c r="J73" s="11">
        <v>14</v>
      </c>
      <c r="K73" s="11">
        <v>101</v>
      </c>
      <c r="L73" s="11">
        <v>203</v>
      </c>
      <c r="M73" s="11">
        <v>50</v>
      </c>
      <c r="N73" s="11" t="s">
        <v>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Feld 2020</vt:lpstr>
      <vt:lpstr>Halle 19 20</vt:lpstr>
      <vt:lpstr>Feld 2019</vt:lpstr>
      <vt:lpstr>Halle 18 19</vt:lpstr>
      <vt:lpstr>Feld 2018</vt:lpstr>
      <vt:lpstr>Halle 17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Ramming, Christina</dc:creator>
  <cp:lastModifiedBy>Jürgen Albrecht</cp:lastModifiedBy>
  <dcterms:created xsi:type="dcterms:W3CDTF">2019-06-07T08:42:28Z</dcterms:created>
  <dcterms:modified xsi:type="dcterms:W3CDTF">2019-08-12T14:46:19Z</dcterms:modified>
</cp:coreProperties>
</file>