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05" windowHeight="7635" tabRatio="634" firstSheet="1" activeTab="5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</sheets>
  <externalReferences>
    <externalReference r:id="rId25"/>
    <externalReference r:id="rId26"/>
  </externalReferences>
  <definedNames>
    <definedName name="_xlnm.Print_Area" localSheetId="0">'Anleitung'!$A$1:$AK$54</definedName>
    <definedName name="_xlnm.Print_Area" localSheetId="21">'geografische Verteilung'!$A$1:$H$45</definedName>
    <definedName name="_xlnm.Print_Area" localSheetId="7">'Gruppe A'!$A$1:$AP$35</definedName>
    <definedName name="_xlnm.Print_Area" localSheetId="2">'Mannschaften'!$A$1:$AF$158</definedName>
    <definedName name="_xlnm.Print_Area" localSheetId="20">'Siegerliste'!$A$1:$H$30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'Spielplan-So'!$A$1:$V$38</definedName>
    <definedName name="Mannschaft">'Mannschaften'!$C$10:$AE$10</definedName>
    <definedName name="PlanS">'Spielplan-Sa'!$A$20:$Y$56</definedName>
    <definedName name="Spieler">'Mannschaften'!$C$13:$E$141</definedName>
    <definedName name="Spielplan">'[1]Spielpl'!$A$14:$M$31</definedName>
    <definedName name="Z_E6840C4E_C34A_4A2B_8FBE_49D2DBF17731_.wvu.Cols" localSheetId="7" hidden="1">'Gruppe A'!$AL:$AO</definedName>
    <definedName name="Z_E6840C4E_C34A_4A2B_8FBE_49D2DBF17731_.wvu.Cols" localSheetId="8" hidden="1">'Gruppe B'!$AL:$AO</definedName>
    <definedName name="Z_E6840C4E_C34A_4A2B_8FBE_49D2DBF17731_.wvu.Cols" localSheetId="3" hidden="1">'Leitung und Ort'!$B:$B</definedName>
    <definedName name="Z_E6840C4E_C34A_4A2B_8FBE_49D2DBF17731_.wvu.Cols" localSheetId="2" hidden="1">'Mannschaften'!$B:$B,'Mannschaften'!$R:$AF</definedName>
    <definedName name="Z_E6840C4E_C34A_4A2B_8FBE_49D2DBF17731_.wvu.Cols" localSheetId="6" hidden="1">'Spielbericht'!$D:$D,'Spielbericht'!$U:$U,'Spielbericht'!$AM:$AP</definedName>
    <definedName name="Z_E6840C4E_C34A_4A2B_8FBE_49D2DBF17731_.wvu.Cols" localSheetId="4" hidden="1">'Spielplan-Sa'!$A:$A,'Spielplan-Sa'!$X:$AE</definedName>
    <definedName name="Z_E6840C4E_C34A_4A2B_8FBE_49D2DBF17731_.wvu.Cols" localSheetId="5" hidden="1">'Spielplan-So'!$W:$AD</definedName>
    <definedName name="Z_E6840C4E_C34A_4A2B_8FBE_49D2DBF17731_.wvu.PrintArea" localSheetId="0" hidden="1">'Anleitung'!$A$1:$AK$54</definedName>
    <definedName name="Z_E6840C4E_C34A_4A2B_8FBE_49D2DBF17731_.wvu.PrintArea" localSheetId="21" hidden="1">'geografische Verteilung'!$A$1:$H$45</definedName>
    <definedName name="Z_E6840C4E_C34A_4A2B_8FBE_49D2DBF17731_.wvu.PrintArea" localSheetId="7" hidden="1">'Gruppe A'!$A$1:$AP$35</definedName>
    <definedName name="Z_E6840C4E_C34A_4A2B_8FBE_49D2DBF17731_.wvu.PrintArea" localSheetId="2" hidden="1">'Mannschaften'!$A$1:$AF$158</definedName>
    <definedName name="Z_E6840C4E_C34A_4A2B_8FBE_49D2DBF17731_.wvu.PrintArea" localSheetId="20" hidden="1">'Siegerliste'!$A$1:$H$30</definedName>
    <definedName name="Z_E6840C4E_C34A_4A2B_8FBE_49D2DBF17731_.wvu.PrintArea" localSheetId="6" hidden="1">'Spielbericht'!$A$1:$AH$42</definedName>
    <definedName name="Z_E6840C4E_C34A_4A2B_8FBE_49D2DBF17731_.wvu.PrintArea" localSheetId="4" hidden="1">'Spielplan-Sa'!$B$1:$Y$56</definedName>
    <definedName name="Z_E6840C4E_C34A_4A2B_8FBE_49D2DBF17731_.wvu.PrintArea" localSheetId="5" hidden="1">'Spielplan-So'!$A$1:$V$38</definedName>
    <definedName name="Z_E6840C4E_C34A_4A2B_8FBE_49D2DBF17731_.wvu.Rows" localSheetId="7" hidden="1">'Gruppe A'!$26:$28</definedName>
    <definedName name="Z_E6840C4E_C34A_4A2B_8FBE_49D2DBF17731_.wvu.Rows" localSheetId="8" hidden="1">'Gruppe B'!$26:$28</definedName>
    <definedName name="Z_E6840C4E_C34A_4A2B_8FBE_49D2DBF17731_.wvu.Rows" localSheetId="2" hidden="1">'Mannschaften'!$12:$12,'Mannschaften'!$26:$141,'Mannschaften'!$159:$175</definedName>
    <definedName name="Z_E6840C4E_C34A_4A2B_8FBE_49D2DBF17731_.wvu.Rows" localSheetId="6" hidden="1">'Spielbericht'!$13:$13</definedName>
    <definedName name="Z_E6840C4E_C34A_4A2B_8FBE_49D2DBF17731_.wvu.Rows" localSheetId="9" hidden="1">'Spielereinsatzliste A1'!$28:$66</definedName>
    <definedName name="Z_E6840C4E_C34A_4A2B_8FBE_49D2DBF17731_.wvu.Rows" localSheetId="10" hidden="1">'Spielereinsatzliste A2'!$28:$66</definedName>
    <definedName name="Z_E6840C4E_C34A_4A2B_8FBE_49D2DBF17731_.wvu.Rows" localSheetId="11" hidden="1">'Spielereinsatzliste A3'!$28:$66</definedName>
    <definedName name="Z_E6840C4E_C34A_4A2B_8FBE_49D2DBF17731_.wvu.Rows" localSheetId="12" hidden="1">'Spielereinsatzliste A4'!$28:$66</definedName>
    <definedName name="Z_E6840C4E_C34A_4A2B_8FBE_49D2DBF17731_.wvu.Rows" localSheetId="13" hidden="1">'Spielereinsatzliste A5'!$28:$66</definedName>
    <definedName name="Z_E6840C4E_C34A_4A2B_8FBE_49D2DBF17731_.wvu.Rows" localSheetId="14" hidden="1">'Spielereinsatzliste B1'!$28:$66</definedName>
    <definedName name="Z_E6840C4E_C34A_4A2B_8FBE_49D2DBF17731_.wvu.Rows" localSheetId="15" hidden="1">'Spielereinsatzliste B2'!$28:$66</definedName>
    <definedName name="Z_E6840C4E_C34A_4A2B_8FBE_49D2DBF17731_.wvu.Rows" localSheetId="16" hidden="1">'Spielereinsatzliste B3'!$28:$66</definedName>
    <definedName name="Z_E6840C4E_C34A_4A2B_8FBE_49D2DBF17731_.wvu.Rows" localSheetId="17" hidden="1">'Spielereinsatzliste B4'!$28:$66</definedName>
    <definedName name="Z_E6840C4E_C34A_4A2B_8FBE_49D2DBF17731_.wvu.Rows" localSheetId="18" hidden="1">'Spielereinsatzliste B5'!$28:$66</definedName>
    <definedName name="Z_E6840C4E_C34A_4A2B_8FBE_49D2DBF17731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<sst xmlns="http://schemas.openxmlformats.org/spreadsheetml/2006/main" count="1329" uniqueCount="419">
  <si>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</si>
  <si>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</si>
  <si>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</si>
  <si>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</si>
  <si>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</si>
  <si>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</si>
  <si>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</si>
  <si>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</si>
  <si>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</si>
  <si>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</si>
  <si>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</si>
  <si>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</si>
  <si>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</si>
  <si>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</si>
  <si>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</si>
  <si>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</si>
  <si>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</si>
  <si>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</si>
  <si>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</si>
  <si>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</si>
  <si>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</si>
  <si>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</si>
  <si>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</si>
  <si>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</si>
  <si>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</si>
  <si>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</si>
  <si>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</si>
  <si>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</si>
  <si>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</si>
  <si>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</si>
  <si>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</si>
  <si>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</si>
  <si>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</si>
  <si>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</si>
  <si>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</si>
  <si>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</si>
  <si>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</si>
  <si>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</si>
  <si>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</si>
  <si>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</si>
  <si>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</si>
  <si>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</si>
  <si>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</si>
  <si>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</si>
  <si>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</si>
  <si>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</si>
  <si>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</si>
  <si>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</si>
  <si>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</si>
  <si>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</si>
  <si>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</si>
  <si>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</si>
  <si>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</si>
  <si>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</si>
  <si>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</si>
  <si>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</si>
  <si>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</si>
  <si>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</si>
  <si>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</si>
  <si>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</si>
  <si>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</si>
  <si>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</si>
  <si>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</si>
  <si>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</si>
  <si>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</si>
  <si>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</si>
  <si>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</si>
  <si>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</si>
  <si>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</si>
  <si>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</si>
  <si>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</si>
  <si>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</si>
  <si>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</si>
  <si>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</si>
  <si>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</si>
  <si>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</si>
  <si>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</si>
  <si>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</si>
  <si>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</si>
  <si>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</si>
  <si>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</si>
  <si>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</si>
  <si>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 xml:space="preserve">Spielplan      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</si>
  <si>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</si>
  <si>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</si>
  <si>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</si>
  <si>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</si>
  <si>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</si>
  <si>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</si>
  <si>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</si>
  <si>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</si>
  <si>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</si>
  <si>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</si>
  <si>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</si>
  <si>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</si>
  <si>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</si>
  <si>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</si>
  <si>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</si>
  <si>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</si>
  <si>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</si>
  <si>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</si>
  <si>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</si>
  <si>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</si>
  <si>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</si>
  <si>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</si>
  <si>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</si>
  <si>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um Bundes- oder Deutsche Meisterschaften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</si>
  <si>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</si>
  <si>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</si>
  <si>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</si>
  <si>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</si>
  <si>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</si>
  <si>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</si>
  <si>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</si>
  <si>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>Ausrichter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</si>
  <si>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</si>
  <si>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</si>
  <si>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</si>
  <si>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</si>
  <si>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</si>
  <si>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</si>
  <si>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</si>
  <si>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Platzierung bei der RM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</si>
  <si>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</si>
  <si>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</si>
  <si>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</si>
  <si>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</si>
  <si>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</si>
  <si>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</si>
  <si>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</si>
  <si>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</si>
  <si>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</si>
  <si>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</si>
  <si>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</si>
  <si>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</si>
  <si>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</si>
  <si>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</si>
  <si>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</si>
  <si>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</si>
  <si>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</si>
  <si>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</si>
  <si>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</si>
  <si>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</si>
  <si>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</si>
  <si>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</si>
  <si>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</si>
  <si>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</si>
  <si>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</si>
  <si>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</si>
  <si>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</si>
  <si>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</si>
  <si>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</si>
  <si>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</si>
  <si>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</si>
  <si>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</si>
  <si>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</si>
  <si>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</si>
  <si>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</si>
  <si>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</si>
  <si>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</si>
  <si>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Quo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</si>
  <si>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</si>
  <si>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</si>
  <si>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</si>
  <si>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</si>
  <si>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</si>
  <si>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</si>
  <si>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</si>
  <si>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</si>
  <si>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</si>
  <si>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</si>
  <si>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</si>
  <si>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</si>
  <si>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</si>
  <si>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</si>
  <si>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</si>
  <si>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</si>
  <si>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</si>
  <si>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</si>
  <si>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</si>
  <si>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</si>
  <si>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</si>
  <si>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</si>
  <si>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</si>
  <si>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</si>
  <si>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</si>
  <si>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</si>
  <si>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</si>
  <si>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</si>
  <si>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</si>
  <si>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</si>
  <si>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</si>
  <si>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</si>
  <si>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</si>
  <si>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</si>
  <si>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</si>
  <si>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</si>
  <si>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</si>
  <si>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</si>
  <si>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</si>
  <si>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</si>
  <si>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</si>
  <si>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</si>
  <si>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</si>
  <si>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</si>
  <si>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</si>
  <si>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</si>
  <si>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</si>
  <si>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</si>
  <si>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</si>
  <si>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</si>
  <si>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</si>
  <si>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</si>
  <si>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</si>
  <si>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</si>
  <si>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</si>
  <si>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</si>
  <si>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</si>
  <si>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Ausrichter/LM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</si>
  <si>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</si>
  <si>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</si>
  <si>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</si>
  <si>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</si>
  <si>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</si>
  <si>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</si>
  <si>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</si>
  <si>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</si>
  <si>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</si>
  <si>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</si>
  <si>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</si>
  <si>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</si>
  <si>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</si>
  <si>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</si>
  <si>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</si>
  <si>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</si>
  <si>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</si>
  <si>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</si>
  <si>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</si>
  <si>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</si>
  <si>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</si>
  <si>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</si>
  <si>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</si>
  <si>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</si>
  <si>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für Bundes- oder Deutsche Meisterschaften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</si>
  <si>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</si>
  <si>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</si>
  <si>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</si>
  <si>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</si>
  <si>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</si>
  <si>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</si>
  <si>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</si>
  <si>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</si>
  <si>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</si>
  <si>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</si>
  <si>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</si>
  <si>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a) Es wird nach Gewinnsätzen gespielt.</t>
  </si>
  <si>
    <t>b) Ein Spiel ist beendet, sobald eine Mannschaft zwei Sätze gewonnen hat.</t>
  </si>
  <si>
    <t>c) Ein Satz ist gewonnen, sobald eine Mannschaft 11 Gutbälle bei einer Differenz von mindestens</t>
  </si>
  <si>
    <t>2 Gutbällen erzielt hat; anderenfalls wird sofort bis zu einer Balldifferenz von 2 Gutbällen</t>
  </si>
  <si>
    <t>weitergespielt. Jeder Satz endet jedoch, wenn eine Mannschaft 15 Gutbälle erzielt hat (ggf. 15:14).</t>
  </si>
  <si>
    <t>d) Vor einem notwendig werdenden dritten Satz wird neu gelost. Sobald eine Mannschaft 6 Gutbälle</t>
  </si>
  <si>
    <t>erzielt hat, wechseln Feld, Ballwahl und damit die erste Angabe.</t>
  </si>
  <si>
    <t>e) Kampflos gewonnene Spiele werden mit 2:0 Sätzen und 22:0 Bällen gewertet.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</si>
  <si>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</si>
  <si>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</si>
  <si>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</si>
  <si>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Es gibt keine Auszeit.</t>
  </si>
  <si>
    <t>Auswechslung ist jederzeit bei vorheriger Meldung beim Schiedsrichter möglich.</t>
  </si>
  <si>
    <t>Jürgen Zink</t>
  </si>
  <si>
    <t>Gleiwitzer Straße 8</t>
  </si>
  <si>
    <t>68753 Waghäusel</t>
  </si>
  <si>
    <t>Tel: 07254/71816</t>
  </si>
  <si>
    <t>Mobil: 0170/5601598</t>
  </si>
  <si>
    <t>j-zink@t-online.de</t>
  </si>
  <si>
    <t>Sportanlage</t>
  </si>
  <si>
    <t>Sportgelände TSV Wiesental</t>
  </si>
  <si>
    <t>Seppl-Herberger-Ring 8</t>
  </si>
  <si>
    <t>Tel.: Jürgen Zink (s.o.)</t>
  </si>
  <si>
    <t>Siegfried Linke</t>
  </si>
  <si>
    <t>Saarstraße 24</t>
  </si>
  <si>
    <t>71282 Hemmingen</t>
  </si>
  <si>
    <t>Tel: 07150/970853</t>
  </si>
  <si>
    <t>Mobil: 0173/9217316</t>
  </si>
  <si>
    <t>Deutsche Meisterschaft der Senioren  Feld   2010</t>
  </si>
  <si>
    <t>Waghäusel</t>
  </si>
  <si>
    <t>TSV Wiesental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</si>
  <si>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</si>
  <si>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</si>
  <si>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</si>
  <si>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</si>
  <si>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</si>
  <si>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</si>
  <si>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2) das höhere Satzverhältnis (Quotient) aus allen Spielen der Spielrunde,</t>
  </si>
  <si>
    <t>3) die höhere Balldifferenz (Unterschied) aus allen Spielen der Spielrunde,</t>
  </si>
  <si>
    <t>4) das bessere Punktverhältnis aus den Spielen der punktgleichen Mannschaften untereinander,</t>
  </si>
  <si>
    <t>5) die höhere Satzdifferenz (Unterschied) aus den Spielen der punktgleichen Mannschaften untereinander,</t>
  </si>
  <si>
    <t>6) das höhere Satzverhältnis (Quotient) aus den Spielen der punktgleichen Mannschaften untereinander,</t>
  </si>
  <si>
    <t>7) die höhere Balldifferenz (Unterschied) aus den Spielen der punktgleichen Mannschaften untereinander,</t>
  </si>
  <si>
    <t>8) der Losentscheid.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</si>
  <si>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</si>
  <si>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</si>
  <si>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</si>
  <si>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</si>
  <si>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</si>
  <si>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</si>
  <si>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</si>
  <si>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</si>
  <si>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</si>
  <si>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</si>
  <si>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Für jedes Spiel dürfen bis zu 3 Bälle vom gleichen Hersteller und Balltyp aufgelegt werden.</t>
  </si>
  <si>
    <t>Zusätzlich dürfen bis zu 3 Nassbälle vom gleichen Hersteller und Balltyp aufgelegt werden.</t>
  </si>
  <si>
    <t>2. West</t>
  </si>
  <si>
    <t>1. Nord</t>
  </si>
  <si>
    <t>3. Nord</t>
  </si>
  <si>
    <t>1. West</t>
  </si>
  <si>
    <t>2. Süd</t>
  </si>
  <si>
    <t>2. Ost</t>
  </si>
  <si>
    <t>2. Nord</t>
  </si>
  <si>
    <t>1. Süd</t>
  </si>
  <si>
    <t>1. Ost</t>
  </si>
  <si>
    <t>MSV Buna Schkopau</t>
  </si>
  <si>
    <t>Barnickel, Thomas</t>
  </si>
  <si>
    <t>Koch, Hans-Peter</t>
  </si>
  <si>
    <t>Reinhardt, Steffen</t>
  </si>
  <si>
    <t>Vogelpohl, Lutz</t>
  </si>
  <si>
    <t>X</t>
  </si>
  <si>
    <t>SG Stern Kaulsdorf</t>
  </si>
  <si>
    <t>Großer Andre´</t>
  </si>
  <si>
    <t>Marsch Thomas</t>
  </si>
  <si>
    <t>Kammer Dietmar</t>
  </si>
  <si>
    <t>Büchholz Norbert</t>
  </si>
  <si>
    <t>Marsch, Andre´</t>
  </si>
  <si>
    <t>Köhn, Hartmut</t>
  </si>
  <si>
    <t>Schneider, Frank</t>
  </si>
  <si>
    <t>Frenzel, Heiko</t>
  </si>
  <si>
    <t>Titelverteidiger: ETV Hamburg</t>
  </si>
  <si>
    <t>TV Wünschmichelbach</t>
  </si>
  <si>
    <t>Zwinscher Bernd</t>
  </si>
  <si>
    <t>Ruschka Roland</t>
  </si>
  <si>
    <t>Ruschka Uwe</t>
  </si>
  <si>
    <t>Gruber Andreas</t>
  </si>
  <si>
    <t>Heinle Manfred</t>
  </si>
  <si>
    <t>Schollenberger Herbert</t>
  </si>
  <si>
    <t>Tremmel Armin</t>
  </si>
  <si>
    <t>Spiegel Dirk</t>
  </si>
  <si>
    <t>Kühner Kuno</t>
  </si>
  <si>
    <t>Hrudzik, Ralf</t>
  </si>
  <si>
    <t>Gressner, Thomas</t>
  </si>
  <si>
    <t>Veranstalter: Deutsche Faustball-Liga</t>
  </si>
  <si>
    <t>siegfried.linke@faustball-liga.de</t>
  </si>
  <si>
    <t>TV Segnitz</t>
  </si>
  <si>
    <t>VfB Stuttgart</t>
  </si>
  <si>
    <t>TV Dinglingen</t>
  </si>
  <si>
    <t>TV Klarenthal</t>
  </si>
  <si>
    <t>Junginger, Hanspeter</t>
  </si>
  <si>
    <t>Welz, Michael</t>
  </si>
  <si>
    <t>Fuchs, Martin</t>
  </si>
  <si>
    <t>Feigl, Hans-Peter</t>
  </si>
  <si>
    <t>Ulmer, Joachim</t>
  </si>
  <si>
    <t>Kopplin, Klaus</t>
  </si>
  <si>
    <t>Göck, Sepp-Dieter</t>
  </si>
  <si>
    <t>Mark, Karl-Heinz</t>
  </si>
  <si>
    <t>Siegler, Karlheinz</t>
  </si>
  <si>
    <t>Ruhl, Hartmut</t>
  </si>
  <si>
    <t>Sieber, Reinhold</t>
  </si>
  <si>
    <t>Seidel, Hubert</t>
  </si>
  <si>
    <t>Gernet, Siegfried</t>
  </si>
  <si>
    <t>Frank, Reiner</t>
  </si>
  <si>
    <t>Leipold, Gerhard</t>
  </si>
  <si>
    <t>Götz, Uwe</t>
  </si>
  <si>
    <t>Hoffmann, Klaus</t>
  </si>
  <si>
    <t>Lilienthal, Ralf</t>
  </si>
  <si>
    <t>Zehnle, Harald</t>
  </si>
  <si>
    <t>Trautnitz, Hans</t>
  </si>
  <si>
    <t>Nuvolin, Thomas</t>
  </si>
  <si>
    <t>Müncheberg, Stefan</t>
  </si>
  <si>
    <t>Kemming, Michael</t>
  </si>
  <si>
    <t>Schwend, Reinhard</t>
  </si>
  <si>
    <t>Braun, Dietmar</t>
  </si>
  <si>
    <t>Brust, Jürgen</t>
  </si>
  <si>
    <t>Geibel, Peter</t>
  </si>
  <si>
    <t>Haßler, Erik</t>
  </si>
  <si>
    <t>Kneip, Swen</t>
  </si>
  <si>
    <t>Kneip, Lutz</t>
  </si>
  <si>
    <t>Utta, Frank</t>
  </si>
  <si>
    <t>Wagner, Stephan</t>
  </si>
  <si>
    <t>Leutheuser, Heiko</t>
  </si>
  <si>
    <t>ETV  Hamburg</t>
  </si>
  <si>
    <t>Mehle, Udo</t>
  </si>
  <si>
    <t>Schmidt, Frank</t>
  </si>
  <si>
    <t>von Laufenberg, Frank</t>
  </si>
  <si>
    <t>Euler, Thomas</t>
  </si>
  <si>
    <t>Theurig, Marcus</t>
  </si>
  <si>
    <t>Meller, Thomas</t>
  </si>
  <si>
    <t>Cymera, Rainer</t>
  </si>
  <si>
    <t>Pelz, Martin</t>
  </si>
  <si>
    <t>Cymera, Detlef</t>
  </si>
  <si>
    <t>Schneider, Uwe</t>
  </si>
  <si>
    <t>Holst, Thorsten</t>
  </si>
  <si>
    <t>Schulte am Hülse, Lutz</t>
  </si>
  <si>
    <t>Voss, Uwe</t>
  </si>
  <si>
    <t>Koth, Thorsten</t>
  </si>
  <si>
    <t>Meyer-Weichelt, Volker</t>
  </si>
  <si>
    <t>Vahle, Ralf</t>
  </si>
  <si>
    <t>TV GH Brettorf</t>
  </si>
  <si>
    <t>TSV Bayer Leverkusen</t>
  </si>
  <si>
    <t>Steenken, Holger</t>
  </si>
  <si>
    <t>Tabke, Klaus</t>
  </si>
  <si>
    <t>Lange, Rainer</t>
  </si>
  <si>
    <t>Schelling, Hergen</t>
  </si>
  <si>
    <t>Kläner, Uwe</t>
  </si>
  <si>
    <t>Kläner, Frank</t>
  </si>
  <si>
    <t>Röpken, Holger</t>
  </si>
  <si>
    <t>Es sind nur die von der DFBL zugelassenen Spielgeräte erlaubt.</t>
  </si>
  <si>
    <t>Bürkle, Stefan</t>
  </si>
  <si>
    <t>Martin, Torsten</t>
  </si>
  <si>
    <t>Naumann, Thomas</t>
  </si>
  <si>
    <t>x</t>
  </si>
  <si>
    <t>ETV Hamburg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</si>
</sst>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mmm\ yyyy"/>
  </numFmts>
  <fonts count="6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0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0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9" applyNumberFormat="0" applyAlignment="0" applyProtection="0"/>
  </cellStyleXfs>
  <cellXfs count="10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17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14" fillId="25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1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17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17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1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26" borderId="0" xfId="0" applyFont="1" applyFill="1" applyAlignment="1">
      <alignment/>
    </xf>
    <xf numFmtId="0" fontId="38" fillId="2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2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9" fillId="0" borderId="0" xfId="0" applyFont="1" applyAlignment="1">
      <alignment/>
    </xf>
    <xf numFmtId="0" fontId="37" fillId="21" borderId="0" xfId="0" applyFont="1" applyFill="1" applyAlignment="1">
      <alignment horizontal="center"/>
    </xf>
    <xf numFmtId="0" fontId="19" fillId="21" borderId="0" xfId="0" applyFont="1" applyFill="1" applyAlignment="1">
      <alignment horizontal="center"/>
    </xf>
    <xf numFmtId="14" fontId="4" fillId="21" borderId="0" xfId="0" applyNumberFormat="1" applyFont="1" applyFill="1" applyAlignment="1">
      <alignment horizontal="left" vertical="center"/>
    </xf>
    <xf numFmtId="0" fontId="28" fillId="21" borderId="14" xfId="0" applyFont="1" applyFill="1" applyBorder="1" applyAlignment="1">
      <alignment horizontal="center"/>
    </xf>
    <xf numFmtId="0" fontId="28" fillId="21" borderId="15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24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5" fillId="24" borderId="36" xfId="0" applyFont="1" applyFill="1" applyBorder="1" applyAlignment="1" applyProtection="1">
      <alignment horizontal="center"/>
      <protection locked="0"/>
    </xf>
    <xf numFmtId="0" fontId="5" fillId="24" borderId="37" xfId="0" applyFont="1" applyFill="1" applyBorder="1" applyAlignment="1" applyProtection="1">
      <alignment horizontal="center"/>
      <protection locked="0"/>
    </xf>
    <xf numFmtId="0" fontId="5" fillId="24" borderId="38" xfId="0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40" xfId="0" applyFill="1" applyBorder="1" applyAlignment="1" applyProtection="1">
      <alignment/>
      <protection locked="0"/>
    </xf>
    <xf numFmtId="0" fontId="5" fillId="24" borderId="38" xfId="0" applyFont="1" applyFill="1" applyBorder="1" applyAlignment="1" applyProtection="1">
      <alignment horizontal="left"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33" fillId="24" borderId="38" xfId="0" applyFont="1" applyFill="1" applyBorder="1" applyAlignment="1" applyProtection="1">
      <alignment horizontal="left" vertical="center"/>
      <protection locked="0"/>
    </xf>
    <xf numFmtId="0" fontId="33" fillId="24" borderId="38" xfId="0" applyFont="1" applyFill="1" applyBorder="1" applyAlignment="1" applyProtection="1">
      <alignment horizontal="left"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4" fillId="24" borderId="41" xfId="0" applyFont="1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33" fillId="24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24" borderId="41" xfId="0" applyFont="1" applyFill="1" applyBorder="1" applyAlignment="1" applyProtection="1">
      <alignment/>
      <protection locked="0"/>
    </xf>
    <xf numFmtId="0" fontId="1" fillId="24" borderId="42" xfId="0" applyFont="1" applyFill="1" applyBorder="1" applyAlignment="1" applyProtection="1">
      <alignment/>
      <protection locked="0"/>
    </xf>
    <xf numFmtId="0" fontId="1" fillId="24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24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24" borderId="50" xfId="0" applyNumberFormat="1" applyFont="1" applyFill="1" applyBorder="1" applyAlignment="1" applyProtection="1">
      <alignment vertical="center"/>
      <protection locked="0"/>
    </xf>
    <xf numFmtId="0" fontId="0" fillId="24" borderId="51" xfId="0" applyFill="1" applyBorder="1" applyAlignment="1" applyProtection="1">
      <alignment horizontal="center" vertical="center"/>
      <protection locked="0"/>
    </xf>
    <xf numFmtId="0" fontId="1" fillId="24" borderId="52" xfId="0" applyFont="1" applyFill="1" applyBorder="1" applyAlignment="1" applyProtection="1">
      <alignment horizontal="centerContinuous" vertical="center"/>
      <protection locked="0"/>
    </xf>
    <xf numFmtId="0" fontId="0" fillId="21" borderId="52" xfId="0" applyFont="1" applyFill="1" applyBorder="1" applyAlignment="1" applyProtection="1">
      <alignment horizontal="centerContinuous" vertical="center"/>
      <protection locked="0"/>
    </xf>
    <xf numFmtId="0" fontId="1" fillId="24" borderId="52" xfId="0" applyFont="1" applyFill="1" applyBorder="1" applyAlignment="1" applyProtection="1">
      <alignment horizontal="left" vertical="center"/>
      <protection locked="0"/>
    </xf>
    <xf numFmtId="0" fontId="0" fillId="24" borderId="53" xfId="0" applyFill="1" applyBorder="1" applyAlignment="1" applyProtection="1">
      <alignment horizontal="centerContinuous" vertical="center"/>
      <protection locked="0"/>
    </xf>
    <xf numFmtId="0" fontId="0" fillId="24" borderId="52" xfId="0" applyFill="1" applyBorder="1" applyAlignment="1" applyProtection="1">
      <alignment horizontal="centerContinuous" vertical="center"/>
      <protection locked="0"/>
    </xf>
    <xf numFmtId="0" fontId="1" fillId="24" borderId="54" xfId="0" applyFont="1" applyFill="1" applyBorder="1" applyAlignment="1" applyProtection="1">
      <alignment horizontal="left" vertical="center"/>
      <protection locked="0"/>
    </xf>
    <xf numFmtId="0" fontId="0" fillId="24" borderId="53" xfId="0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9" fillId="24" borderId="36" xfId="0" applyFont="1" applyFill="1" applyBorder="1" applyAlignment="1" applyProtection="1">
      <alignment horizontal="center"/>
      <protection locked="0"/>
    </xf>
    <xf numFmtId="0" fontId="9" fillId="24" borderId="34" xfId="0" applyFont="1" applyFill="1" applyBorder="1" applyAlignment="1" applyProtection="1">
      <alignment horizontal="center"/>
      <protection locked="0"/>
    </xf>
    <xf numFmtId="0" fontId="9" fillId="24" borderId="56" xfId="0" applyFont="1" applyFill="1" applyBorder="1" applyAlignment="1" applyProtection="1">
      <alignment horizontal="center"/>
      <protection locked="0"/>
    </xf>
    <xf numFmtId="0" fontId="9" fillId="24" borderId="57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9" fillId="24" borderId="59" xfId="0" applyFont="1" applyFill="1" applyBorder="1" applyAlignment="1" applyProtection="1">
      <alignment horizontal="center"/>
      <protection locked="0"/>
    </xf>
    <xf numFmtId="0" fontId="9" fillId="24" borderId="60" xfId="0" applyFont="1" applyFill="1" applyBorder="1" applyAlignment="1" applyProtection="1">
      <alignment horizontal="center"/>
      <protection locked="0"/>
    </xf>
    <xf numFmtId="0" fontId="9" fillId="24" borderId="61" xfId="0" applyFont="1" applyFill="1" applyBorder="1" applyAlignment="1" applyProtection="1">
      <alignment horizontal="center"/>
      <protection locked="0"/>
    </xf>
    <xf numFmtId="0" fontId="9" fillId="24" borderId="62" xfId="0" applyFont="1" applyFill="1" applyBorder="1" applyAlignment="1" applyProtection="1">
      <alignment horizontal="center"/>
      <protection locked="0"/>
    </xf>
    <xf numFmtId="0" fontId="9" fillId="24" borderId="41" xfId="0" applyFont="1" applyFill="1" applyBorder="1" applyAlignment="1" applyProtection="1">
      <alignment horizontal="center"/>
      <protection locked="0"/>
    </xf>
    <xf numFmtId="0" fontId="9" fillId="24" borderId="43" xfId="0" applyFont="1" applyFill="1" applyBorder="1" applyAlignment="1" applyProtection="1">
      <alignment horizontal="center"/>
      <protection locked="0"/>
    </xf>
    <xf numFmtId="0" fontId="9" fillId="24" borderId="63" xfId="0" applyFont="1" applyFill="1" applyBorder="1" applyAlignment="1" applyProtection="1">
      <alignment horizontal="center"/>
      <protection locked="0"/>
    </xf>
    <xf numFmtId="0" fontId="9" fillId="24" borderId="64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24" borderId="68" xfId="0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49" fontId="34" fillId="0" borderId="0" xfId="49" applyNumberFormat="1" applyAlignment="1" applyProtection="1">
      <alignment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center"/>
      <protection/>
    </xf>
    <xf numFmtId="0" fontId="22" fillId="0" borderId="71" xfId="0" applyFont="1" applyFill="1" applyBorder="1" applyAlignment="1" applyProtection="1">
      <alignment horizontal="left"/>
      <protection/>
    </xf>
    <xf numFmtId="0" fontId="22" fillId="0" borderId="72" xfId="0" applyFont="1" applyFill="1" applyBorder="1" applyAlignment="1" applyProtection="1">
      <alignment horizontal="left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 applyProtection="1">
      <alignment horizontal="center"/>
      <protection/>
    </xf>
    <xf numFmtId="0" fontId="22" fillId="0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2" fillId="20" borderId="69" xfId="0" applyFont="1" applyFill="1" applyBorder="1" applyAlignment="1" applyProtection="1">
      <alignment horizontal="center"/>
      <protection/>
    </xf>
    <xf numFmtId="0" fontId="22" fillId="20" borderId="70" xfId="0" applyFont="1" applyFill="1" applyBorder="1" applyAlignment="1" applyProtection="1">
      <alignment horizontal="center"/>
      <protection/>
    </xf>
    <xf numFmtId="0" fontId="22" fillId="20" borderId="78" xfId="0" applyFont="1" applyFill="1" applyBorder="1" applyAlignment="1" applyProtection="1">
      <alignment horizontal="center"/>
      <protection/>
    </xf>
    <xf numFmtId="0" fontId="22" fillId="20" borderId="79" xfId="0" applyFont="1" applyFill="1" applyBorder="1" applyAlignment="1" applyProtection="1">
      <alignment horizontal="center"/>
      <protection/>
    </xf>
    <xf numFmtId="0" fontId="22" fillId="0" borderId="80" xfId="0" applyFont="1" applyFill="1" applyBorder="1" applyAlignment="1" applyProtection="1">
      <alignment horizontal="left"/>
      <protection/>
    </xf>
    <xf numFmtId="0" fontId="0" fillId="0" borderId="71" xfId="0" applyFont="1" applyFill="1" applyBorder="1" applyAlignment="1" applyProtection="1">
      <alignment/>
      <protection/>
    </xf>
    <xf numFmtId="0" fontId="26" fillId="0" borderId="81" xfId="0" applyFont="1" applyBorder="1" applyAlignment="1" applyProtection="1">
      <alignment/>
      <protection/>
    </xf>
    <xf numFmtId="0" fontId="26" fillId="0" borderId="82" xfId="0" applyFont="1" applyBorder="1" applyAlignment="1" applyProtection="1">
      <alignment/>
      <protection/>
    </xf>
    <xf numFmtId="0" fontId="26" fillId="0" borderId="83" xfId="0" applyFont="1" applyFill="1" applyBorder="1" applyAlignment="1" applyProtection="1">
      <alignment horizontal="center"/>
      <protection/>
    </xf>
    <xf numFmtId="0" fontId="26" fillId="0" borderId="84" xfId="0" applyFont="1" applyFill="1" applyBorder="1" applyAlignment="1" applyProtection="1">
      <alignment horizontal="center"/>
      <protection/>
    </xf>
    <xf numFmtId="0" fontId="26" fillId="0" borderId="8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88" xfId="0" applyBorder="1" applyAlignment="1" applyProtection="1">
      <alignment/>
      <protection/>
    </xf>
    <xf numFmtId="0" fontId="28" fillId="0" borderId="88" xfId="0" applyFont="1" applyBorder="1" applyAlignment="1" applyProtection="1">
      <alignment horizontal="center"/>
      <protection/>
    </xf>
    <xf numFmtId="0" fontId="28" fillId="0" borderId="88" xfId="0" applyFont="1" applyBorder="1" applyAlignment="1" applyProtection="1">
      <alignment/>
      <protection/>
    </xf>
    <xf numFmtId="0" fontId="28" fillId="0" borderId="70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76" xfId="0" applyFont="1" applyBorder="1" applyAlignment="1" applyProtection="1">
      <alignment horizontal="center"/>
      <protection/>
    </xf>
    <xf numFmtId="0" fontId="28" fillId="0" borderId="70" xfId="0" applyFont="1" applyBorder="1" applyAlignment="1" applyProtection="1">
      <alignment horizontal="left"/>
      <protection/>
    </xf>
    <xf numFmtId="0" fontId="28" fillId="0" borderId="76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5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89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26" borderId="0" xfId="0" applyFont="1" applyFill="1" applyAlignment="1">
      <alignment/>
    </xf>
    <xf numFmtId="0" fontId="42" fillId="20" borderId="0" xfId="0" applyFont="1" applyFill="1" applyAlignment="1">
      <alignment/>
    </xf>
    <xf numFmtId="0" fontId="42" fillId="7" borderId="0" xfId="0" applyFont="1" applyFill="1" applyAlignment="1">
      <alignment/>
    </xf>
    <xf numFmtId="0" fontId="0" fillId="2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21" borderId="0" xfId="0" applyFill="1" applyAlignment="1" applyProtection="1">
      <alignment/>
      <protection/>
    </xf>
    <xf numFmtId="0" fontId="0" fillId="21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21" borderId="0" xfId="0" applyFont="1" applyFill="1" applyAlignment="1" applyProtection="1">
      <alignment horizontal="center"/>
      <protection/>
    </xf>
    <xf numFmtId="0" fontId="22" fillId="21" borderId="0" xfId="0" applyFont="1" applyFill="1" applyBorder="1" applyAlignment="1" applyProtection="1">
      <alignment horizontal="center"/>
      <protection/>
    </xf>
    <xf numFmtId="0" fontId="26" fillId="21" borderId="90" xfId="0" applyFont="1" applyFill="1" applyBorder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 horizontal="center"/>
      <protection/>
    </xf>
    <xf numFmtId="0" fontId="26" fillId="21" borderId="5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/>
      <protection/>
    </xf>
    <xf numFmtId="0" fontId="26" fillId="4" borderId="68" xfId="0" applyFont="1" applyFill="1" applyBorder="1" applyAlignment="1" applyProtection="1">
      <alignment horizontal="center"/>
      <protection/>
    </xf>
    <xf numFmtId="0" fontId="0" fillId="21" borderId="91" xfId="0" applyFont="1" applyFill="1" applyBorder="1" applyAlignment="1" applyProtection="1">
      <alignment/>
      <protection/>
    </xf>
    <xf numFmtId="0" fontId="26" fillId="21" borderId="92" xfId="0" applyFont="1" applyFill="1" applyBorder="1" applyAlignment="1" applyProtection="1">
      <alignment vertical="center"/>
      <protection/>
    </xf>
    <xf numFmtId="0" fontId="0" fillId="21" borderId="0" xfId="0" applyFill="1" applyAlignment="1" applyProtection="1">
      <alignment horizontal="center"/>
      <protection/>
    </xf>
    <xf numFmtId="0" fontId="1" fillId="21" borderId="0" xfId="0" applyFont="1" applyFill="1" applyBorder="1" applyAlignment="1" applyProtection="1">
      <alignment vertical="center"/>
      <protection/>
    </xf>
    <xf numFmtId="0" fontId="32" fillId="21" borderId="0" xfId="0" applyFont="1" applyFill="1" applyAlignment="1" applyProtection="1">
      <alignment/>
      <protection/>
    </xf>
    <xf numFmtId="0" fontId="1" fillId="21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21" borderId="0" xfId="0" applyFont="1" applyFill="1" applyAlignment="1" applyProtection="1">
      <alignment horizontal="center"/>
      <protection/>
    </xf>
    <xf numFmtId="0" fontId="22" fillId="21" borderId="0" xfId="0" applyFont="1" applyFill="1" applyBorder="1" applyAlignment="1" applyProtection="1">
      <alignment/>
      <protection/>
    </xf>
    <xf numFmtId="0" fontId="22" fillId="21" borderId="0" xfId="0" applyFont="1" applyFill="1" applyAlignment="1" applyProtection="1">
      <alignment/>
      <protection/>
    </xf>
    <xf numFmtId="0" fontId="22" fillId="21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21" borderId="90" xfId="0" applyFont="1" applyFill="1" applyBorder="1" applyAlignment="1" applyProtection="1">
      <alignment horizontal="center"/>
      <protection/>
    </xf>
    <xf numFmtId="0" fontId="18" fillId="21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21" borderId="55" xfId="0" applyFont="1" applyFill="1" applyBorder="1" applyAlignment="1" applyProtection="1">
      <alignment vertical="center"/>
      <protection/>
    </xf>
    <xf numFmtId="0" fontId="26" fillId="21" borderId="24" xfId="0" applyFont="1" applyFill="1" applyBorder="1" applyAlignment="1" applyProtection="1">
      <alignment vertical="center"/>
      <protection/>
    </xf>
    <xf numFmtId="0" fontId="26" fillId="21" borderId="33" xfId="0" applyFont="1" applyFill="1" applyBorder="1" applyAlignment="1" applyProtection="1">
      <alignment vertical="center"/>
      <protection/>
    </xf>
    <xf numFmtId="0" fontId="26" fillId="21" borderId="55" xfId="0" applyFont="1" applyFill="1" applyBorder="1" applyAlignment="1" applyProtection="1">
      <alignment/>
      <protection/>
    </xf>
    <xf numFmtId="0" fontId="26" fillId="21" borderId="27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70" xfId="0" applyFont="1" applyBorder="1" applyAlignment="1" applyProtection="1">
      <alignment horizontal="center"/>
      <protection/>
    </xf>
    <xf numFmtId="0" fontId="31" fillId="0" borderId="67" xfId="0" applyFont="1" applyFill="1" applyBorder="1" applyAlignment="1" applyProtection="1">
      <alignment horizontal="center"/>
      <protection/>
    </xf>
    <xf numFmtId="0" fontId="31" fillId="0" borderId="93" xfId="0" applyFont="1" applyFill="1" applyBorder="1" applyAlignment="1" applyProtection="1">
      <alignment horizontal="center"/>
      <protection/>
    </xf>
    <xf numFmtId="0" fontId="1" fillId="0" borderId="76" xfId="0" applyFont="1" applyBorder="1" applyAlignment="1" applyProtection="1">
      <alignment horizontal="center"/>
      <protection/>
    </xf>
    <xf numFmtId="0" fontId="31" fillId="0" borderId="94" xfId="0" applyFont="1" applyFill="1" applyBorder="1" applyAlignment="1" applyProtection="1">
      <alignment horizont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67" xfId="0" applyNumberFormat="1" applyFont="1" applyFill="1" applyBorder="1" applyAlignment="1" applyProtection="1">
      <alignment horizontal="center" vertical="center"/>
      <protection/>
    </xf>
    <xf numFmtId="1" fontId="0" fillId="0" borderId="87" xfId="0" applyNumberFormat="1" applyFont="1" applyFill="1" applyBorder="1" applyAlignment="1" applyProtection="1">
      <alignment horizontal="center" vertical="center"/>
      <protection/>
    </xf>
    <xf numFmtId="1" fontId="0" fillId="0" borderId="58" xfId="0" applyNumberFormat="1" applyFont="1" applyFill="1" applyBorder="1" applyAlignment="1" applyProtection="1">
      <alignment horizontal="center" vertical="center"/>
      <protection/>
    </xf>
    <xf numFmtId="1" fontId="0" fillId="0" borderId="9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94" xfId="0" applyFont="1" applyFill="1" applyBorder="1" applyAlignment="1" applyProtection="1">
      <alignment horizontal="center"/>
      <protection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95" xfId="0" applyFont="1" applyBorder="1" applyAlignment="1" applyProtection="1">
      <alignment vertical="center"/>
      <protection/>
    </xf>
    <xf numFmtId="0" fontId="1" fillId="0" borderId="90" xfId="0" applyFont="1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0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1" borderId="21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21" borderId="97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21" borderId="24" xfId="0" applyFont="1" applyFill="1" applyBorder="1" applyAlignment="1" applyProtection="1">
      <alignment/>
      <protection/>
    </xf>
    <xf numFmtId="0" fontId="0" fillId="20" borderId="10" xfId="0" applyFill="1" applyBorder="1" applyAlignment="1" applyProtection="1">
      <alignment horizontal="center"/>
      <protection/>
    </xf>
    <xf numFmtId="0" fontId="0" fillId="21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24" borderId="99" xfId="0" applyFont="1" applyFill="1" applyBorder="1" applyAlignment="1" applyProtection="1">
      <alignment horizontal="center" vertical="center" wrapText="1"/>
      <protection/>
    </xf>
    <xf numFmtId="0" fontId="0" fillId="24" borderId="100" xfId="0" applyFont="1" applyFill="1" applyBorder="1" applyAlignment="1" applyProtection="1">
      <alignment horizontal="center" vertical="center" wrapText="1"/>
      <protection/>
    </xf>
    <xf numFmtId="0" fontId="0" fillId="0" borderId="101" xfId="0" applyBorder="1" applyAlignment="1" applyProtection="1">
      <alignment/>
      <protection/>
    </xf>
    <xf numFmtId="0" fontId="6" fillId="20" borderId="102" xfId="0" applyFont="1" applyFill="1" applyBorder="1" applyAlignment="1" applyProtection="1">
      <alignment vertical="center" wrapText="1"/>
      <protection/>
    </xf>
    <xf numFmtId="0" fontId="0" fillId="20" borderId="103" xfId="0" applyFont="1" applyFill="1" applyBorder="1" applyAlignment="1" applyProtection="1">
      <alignment vertical="center"/>
      <protection/>
    </xf>
    <xf numFmtId="0" fontId="7" fillId="24" borderId="104" xfId="0" applyFont="1" applyFill="1" applyBorder="1" applyAlignment="1" applyProtection="1">
      <alignment vertical="center"/>
      <protection/>
    </xf>
    <xf numFmtId="0" fontId="7" fillId="24" borderId="105" xfId="0" applyFont="1" applyFill="1" applyBorder="1" applyAlignment="1" applyProtection="1">
      <alignment vertical="center"/>
      <protection/>
    </xf>
    <xf numFmtId="0" fontId="6" fillId="24" borderId="106" xfId="0" applyFont="1" applyFill="1" applyBorder="1" applyAlignment="1" applyProtection="1">
      <alignment vertical="center" wrapText="1"/>
      <protection/>
    </xf>
    <xf numFmtId="0" fontId="0" fillId="21" borderId="90" xfId="0" applyFont="1" applyFill="1" applyBorder="1" applyAlignment="1" applyProtection="1">
      <alignment vertical="center" wrapText="1"/>
      <protection/>
    </xf>
    <xf numFmtId="0" fontId="8" fillId="24" borderId="107" xfId="0" applyFont="1" applyFill="1" applyBorder="1" applyAlignment="1" applyProtection="1">
      <alignment vertical="center"/>
      <protection/>
    </xf>
    <xf numFmtId="0" fontId="0" fillId="24" borderId="90" xfId="0" applyFont="1" applyFill="1" applyBorder="1" applyAlignment="1" applyProtection="1">
      <alignment vertical="center"/>
      <protection/>
    </xf>
    <xf numFmtId="0" fontId="0" fillId="20" borderId="104" xfId="0" applyFont="1" applyFill="1" applyBorder="1" applyAlignment="1" applyProtection="1">
      <alignment vertical="center"/>
      <protection/>
    </xf>
    <xf numFmtId="0" fontId="0" fillId="20" borderId="105" xfId="0" applyFont="1" applyFill="1" applyBorder="1" applyAlignment="1" applyProtection="1">
      <alignment vertical="center"/>
      <protection/>
    </xf>
    <xf numFmtId="0" fontId="0" fillId="20" borderId="108" xfId="0" applyFont="1" applyFill="1" applyBorder="1" applyAlignment="1" applyProtection="1">
      <alignment vertical="center"/>
      <protection/>
    </xf>
    <xf numFmtId="0" fontId="7" fillId="21" borderId="19" xfId="0" applyFont="1" applyFill="1" applyBorder="1" applyAlignment="1" applyProtection="1">
      <alignment vertical="center"/>
      <protection/>
    </xf>
    <xf numFmtId="0" fontId="7" fillId="21" borderId="0" xfId="0" applyFont="1" applyFill="1" applyBorder="1" applyAlignment="1" applyProtection="1">
      <alignment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ill="1" applyBorder="1" applyAlignment="1" applyProtection="1">
      <alignment horizont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09" xfId="0" applyFont="1" applyFill="1" applyBorder="1" applyAlignment="1" applyProtection="1">
      <alignment vertical="center"/>
      <protection/>
    </xf>
    <xf numFmtId="0" fontId="0" fillId="21" borderId="51" xfId="0" applyFont="1" applyFill="1" applyBorder="1" applyAlignment="1" applyProtection="1">
      <alignment vertical="center"/>
      <protection/>
    </xf>
    <xf numFmtId="0" fontId="0" fillId="21" borderId="110" xfId="0" applyFont="1" applyFill="1" applyBorder="1" applyAlignment="1" applyProtection="1">
      <alignment vertical="center"/>
      <protection/>
    </xf>
    <xf numFmtId="0" fontId="0" fillId="21" borderId="0" xfId="0" applyFill="1" applyBorder="1" applyAlignment="1" applyProtection="1">
      <alignment/>
      <protection/>
    </xf>
    <xf numFmtId="0" fontId="9" fillId="24" borderId="111" xfId="0" applyFont="1" applyFill="1" applyBorder="1" applyAlignment="1" applyProtection="1">
      <alignment horizontal="center" vertical="center"/>
      <protection/>
    </xf>
    <xf numFmtId="0" fontId="5" fillId="24" borderId="36" xfId="0" applyFont="1" applyFill="1" applyBorder="1" applyAlignment="1" applyProtection="1">
      <alignment horizontal="center" vertical="center"/>
      <protection/>
    </xf>
    <xf numFmtId="0" fontId="0" fillId="21" borderId="55" xfId="0" applyFont="1" applyFill="1" applyBorder="1" applyAlignment="1" applyProtection="1">
      <alignment horizontal="center"/>
      <protection/>
    </xf>
    <xf numFmtId="0" fontId="9" fillId="24" borderId="39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9" fillId="24" borderId="44" xfId="0" applyFont="1" applyFill="1" applyBorder="1" applyAlignment="1" applyProtection="1">
      <alignment horizontal="center" vertical="center"/>
      <protection/>
    </xf>
    <xf numFmtId="0" fontId="5" fillId="24" borderId="41" xfId="0" applyFont="1" applyFill="1" applyBorder="1" applyAlignment="1" applyProtection="1">
      <alignment horizontal="center" vertical="center"/>
      <protection/>
    </xf>
    <xf numFmtId="0" fontId="1" fillId="24" borderId="20" xfId="0" applyFont="1" applyFill="1" applyBorder="1" applyAlignment="1" applyProtection="1">
      <alignment vertical="center"/>
      <protection/>
    </xf>
    <xf numFmtId="0" fontId="1" fillId="24" borderId="21" xfId="0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 vertical="center"/>
      <protection/>
    </xf>
    <xf numFmtId="0" fontId="1" fillId="24" borderId="27" xfId="0" applyFont="1" applyFill="1" applyBorder="1" applyAlignment="1" applyProtection="1">
      <alignment/>
      <protection/>
    </xf>
    <xf numFmtId="0" fontId="0" fillId="24" borderId="112" xfId="0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24" borderId="37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24" borderId="113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24" borderId="42" xfId="0" applyFont="1" applyFill="1" applyBorder="1" applyAlignment="1" applyProtection="1">
      <alignment horizontal="center"/>
      <protection locked="0"/>
    </xf>
    <xf numFmtId="0" fontId="0" fillId="24" borderId="70" xfId="0" applyFill="1" applyBorder="1" applyAlignment="1" applyProtection="1">
      <alignment/>
      <protection/>
    </xf>
    <xf numFmtId="0" fontId="0" fillId="24" borderId="76" xfId="0" applyFill="1" applyBorder="1" applyAlignment="1" applyProtection="1">
      <alignment/>
      <protection/>
    </xf>
    <xf numFmtId="0" fontId="1" fillId="0" borderId="114" xfId="0" applyFont="1" applyBorder="1" applyAlignment="1" applyProtection="1">
      <alignment horizontal="center"/>
      <protection/>
    </xf>
    <xf numFmtId="0" fontId="0" fillId="24" borderId="115" xfId="0" applyFont="1" applyFill="1" applyBorder="1" applyAlignment="1" applyProtection="1">
      <alignment vertical="center"/>
      <protection/>
    </xf>
    <xf numFmtId="0" fontId="0" fillId="24" borderId="89" xfId="0" applyFont="1" applyFill="1" applyBorder="1" applyAlignment="1" applyProtection="1">
      <alignment vertical="center"/>
      <protection/>
    </xf>
    <xf numFmtId="0" fontId="0" fillId="21" borderId="89" xfId="0" applyFont="1" applyFill="1" applyBorder="1" applyAlignment="1" applyProtection="1">
      <alignment vertical="center"/>
      <protection/>
    </xf>
    <xf numFmtId="0" fontId="10" fillId="24" borderId="89" xfId="0" applyFont="1" applyFill="1" applyBorder="1" applyAlignment="1" applyProtection="1">
      <alignment vertical="center"/>
      <protection/>
    </xf>
    <xf numFmtId="0" fontId="0" fillId="24" borderId="116" xfId="0" applyFont="1" applyFill="1" applyBorder="1" applyAlignment="1" applyProtection="1">
      <alignment vertical="center"/>
      <protection/>
    </xf>
    <xf numFmtId="0" fontId="0" fillId="24" borderId="117" xfId="0" applyFont="1" applyFill="1" applyBorder="1" applyAlignment="1" applyProtection="1">
      <alignment vertical="center"/>
      <protection/>
    </xf>
    <xf numFmtId="0" fontId="11" fillId="24" borderId="89" xfId="0" applyFont="1" applyFill="1" applyBorder="1" applyAlignment="1" applyProtection="1">
      <alignment vertical="center"/>
      <protection/>
    </xf>
    <xf numFmtId="0" fontId="12" fillId="24" borderId="89" xfId="0" applyFont="1" applyFill="1" applyBorder="1" applyAlignment="1" applyProtection="1">
      <alignment vertical="center"/>
      <protection/>
    </xf>
    <xf numFmtId="0" fontId="12" fillId="24" borderId="118" xfId="0" applyFont="1" applyFill="1" applyBorder="1" applyAlignment="1" applyProtection="1">
      <alignment vertical="center"/>
      <protection/>
    </xf>
    <xf numFmtId="0" fontId="0" fillId="24" borderId="117" xfId="0" applyFill="1" applyBorder="1" applyAlignment="1" applyProtection="1">
      <alignment vertical="center"/>
      <protection/>
    </xf>
    <xf numFmtId="0" fontId="13" fillId="24" borderId="89" xfId="0" applyFont="1" applyFill="1" applyBorder="1" applyAlignment="1" applyProtection="1">
      <alignment vertical="center"/>
      <protection/>
    </xf>
    <xf numFmtId="0" fontId="4" fillId="24" borderId="118" xfId="0" applyFont="1" applyFill="1" applyBorder="1" applyAlignment="1" applyProtection="1">
      <alignment vertical="center"/>
      <protection/>
    </xf>
    <xf numFmtId="0" fontId="7" fillId="24" borderId="119" xfId="0" applyFont="1" applyFill="1" applyBorder="1" applyAlignment="1" applyProtection="1">
      <alignment vertical="center"/>
      <protection/>
    </xf>
    <xf numFmtId="0" fontId="7" fillId="24" borderId="120" xfId="0" applyFont="1" applyFill="1" applyBorder="1" applyAlignment="1" applyProtection="1">
      <alignment vertical="center"/>
      <protection/>
    </xf>
    <xf numFmtId="0" fontId="0" fillId="21" borderId="120" xfId="0" applyFont="1" applyFill="1" applyBorder="1" applyAlignment="1" applyProtection="1">
      <alignment vertical="center"/>
      <protection/>
    </xf>
    <xf numFmtId="0" fontId="7" fillId="24" borderId="121" xfId="0" applyFont="1" applyFill="1" applyBorder="1" applyAlignment="1" applyProtection="1">
      <alignment vertical="center"/>
      <protection/>
    </xf>
    <xf numFmtId="0" fontId="7" fillId="24" borderId="122" xfId="0" applyFont="1" applyFill="1" applyBorder="1" applyAlignment="1" applyProtection="1">
      <alignment vertical="center"/>
      <protection/>
    </xf>
    <xf numFmtId="0" fontId="7" fillId="24" borderId="123" xfId="0" applyFont="1" applyFill="1" applyBorder="1" applyAlignment="1" applyProtection="1">
      <alignment vertical="center"/>
      <protection/>
    </xf>
    <xf numFmtId="0" fontId="7" fillId="24" borderId="124" xfId="0" applyFont="1" applyFill="1" applyBorder="1" applyAlignment="1" applyProtection="1">
      <alignment vertical="center"/>
      <protection/>
    </xf>
    <xf numFmtId="0" fontId="28" fillId="0" borderId="117" xfId="0" applyFont="1" applyBorder="1" applyAlignment="1" applyProtection="1">
      <alignment/>
      <protection/>
    </xf>
    <xf numFmtId="0" fontId="28" fillId="0" borderId="89" xfId="0" applyFont="1" applyBorder="1" applyAlignment="1" applyProtection="1">
      <alignment/>
      <protection/>
    </xf>
    <xf numFmtId="0" fontId="28" fillId="0" borderId="116" xfId="0" applyFont="1" applyBorder="1" applyAlignment="1" applyProtection="1">
      <alignment/>
      <protection/>
    </xf>
    <xf numFmtId="173" fontId="28" fillId="0" borderId="117" xfId="0" applyNumberFormat="1" applyFont="1" applyBorder="1" applyAlignment="1" applyProtection="1">
      <alignment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170" fontId="0" fillId="0" borderId="67" xfId="0" applyNumberFormat="1" applyFont="1" applyFill="1" applyBorder="1" applyAlignment="1" applyProtection="1">
      <alignment horizontal="left" vertical="center"/>
      <protection/>
    </xf>
    <xf numFmtId="1" fontId="1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170" fontId="0" fillId="0" borderId="94" xfId="0" applyNumberFormat="1" applyFont="1" applyFill="1" applyBorder="1" applyAlignment="1" applyProtection="1">
      <alignment horizontal="left" vertical="center"/>
      <protection/>
    </xf>
    <xf numFmtId="1" fontId="1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70" xfId="0" applyNumberFormat="1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24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1" borderId="24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21" borderId="0" xfId="0" applyFont="1" applyFill="1" applyBorder="1" applyAlignment="1" applyProtection="1">
      <alignment/>
      <protection locked="0"/>
    </xf>
    <xf numFmtId="1" fontId="5" fillId="0" borderId="97" xfId="0" applyNumberFormat="1" applyFont="1" applyBorder="1" applyAlignment="1" applyProtection="1">
      <alignment horizontal="left"/>
      <protection locked="0"/>
    </xf>
    <xf numFmtId="0" fontId="0" fillId="0" borderId="97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24" borderId="24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24" borderId="126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21" borderId="27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21" borderId="33" xfId="0" applyFont="1" applyFill="1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128" xfId="0" applyFont="1" applyBorder="1" applyAlignment="1" applyProtection="1">
      <alignment/>
      <protection locked="0"/>
    </xf>
    <xf numFmtId="2" fontId="3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 vertical="center"/>
    </xf>
    <xf numFmtId="2" fontId="28" fillId="0" borderId="14" xfId="0" applyNumberFormat="1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21" borderId="0" xfId="0" applyNumberFormat="1" applyFill="1" applyAlignment="1">
      <alignment horizontal="center"/>
    </xf>
    <xf numFmtId="2" fontId="37" fillId="21" borderId="0" xfId="0" applyNumberFormat="1" applyFont="1" applyFill="1" applyAlignment="1">
      <alignment horizontal="center"/>
    </xf>
    <xf numFmtId="2" fontId="0" fillId="21" borderId="0" xfId="0" applyNumberFormat="1" applyFill="1" applyAlignment="1">
      <alignment/>
    </xf>
    <xf numFmtId="2" fontId="19" fillId="21" borderId="0" xfId="0" applyNumberFormat="1" applyFont="1" applyFill="1" applyAlignment="1">
      <alignment horizontal="center"/>
    </xf>
    <xf numFmtId="2" fontId="4" fillId="21" borderId="0" xfId="0" applyNumberFormat="1" applyFont="1" applyFill="1" applyAlignment="1">
      <alignment horizontal="left" vertical="center"/>
    </xf>
    <xf numFmtId="2" fontId="28" fillId="21" borderId="14" xfId="0" applyNumberFormat="1" applyFont="1" applyFill="1" applyBorder="1" applyAlignment="1">
      <alignment horizontal="center"/>
    </xf>
    <xf numFmtId="2" fontId="28" fillId="21" borderId="15" xfId="0" applyNumberFormat="1" applyFont="1" applyFill="1" applyBorder="1" applyAlignment="1">
      <alignment horizontal="center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28" fillId="0" borderId="74" xfId="0" applyFon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70" fontId="28" fillId="0" borderId="0" xfId="47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70" xfId="0" applyFont="1" applyFill="1" applyBorder="1" applyAlignment="1" applyProtection="1">
      <alignment horizontal="center"/>
      <protection/>
    </xf>
    <xf numFmtId="0" fontId="1" fillId="0" borderId="12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/>
      <protection/>
    </xf>
    <xf numFmtId="0" fontId="1" fillId="0" borderId="130" xfId="0" applyFont="1" applyFill="1" applyBorder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13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6" xfId="0" applyFont="1" applyFill="1" applyBorder="1" applyAlignment="1" applyProtection="1">
      <alignment horizontal="left"/>
      <protection/>
    </xf>
    <xf numFmtId="0" fontId="30" fillId="0" borderId="67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6" xfId="0" applyFont="1" applyFill="1" applyBorder="1" applyAlignment="1" applyProtection="1">
      <alignment horizontal="left"/>
      <protection/>
    </xf>
    <xf numFmtId="0" fontId="30" fillId="0" borderId="93" xfId="0" applyFont="1" applyFill="1" applyBorder="1" applyAlignment="1" applyProtection="1">
      <alignment horizontal="center"/>
      <protection/>
    </xf>
    <xf numFmtId="0" fontId="30" fillId="0" borderId="87" xfId="0" applyFont="1" applyFill="1" applyBorder="1" applyAlignment="1" applyProtection="1">
      <alignment horizontal="left"/>
      <protection/>
    </xf>
    <xf numFmtId="0" fontId="30" fillId="0" borderId="94" xfId="0" applyFont="1" applyFill="1" applyBorder="1" applyAlignment="1" applyProtection="1">
      <alignment horizontal="center"/>
      <protection/>
    </xf>
    <xf numFmtId="1" fontId="5" fillId="0" borderId="70" xfId="0" applyNumberFormat="1" applyFont="1" applyFill="1" applyBorder="1" applyAlignment="1" applyProtection="1">
      <alignment horizontal="center" vertical="center"/>
      <protection locked="0"/>
    </xf>
    <xf numFmtId="1" fontId="5" fillId="0" borderId="76" xfId="0" applyNumberFormat="1" applyFont="1" applyFill="1" applyBorder="1" applyAlignment="1" applyProtection="1">
      <alignment horizontal="center" vertical="center"/>
      <protection locked="0"/>
    </xf>
    <xf numFmtId="1" fontId="1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2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166" fontId="5" fillId="4" borderId="70" xfId="0" applyNumberFormat="1" applyFont="1" applyFill="1" applyBorder="1" applyAlignment="1" applyProtection="1">
      <alignment horizont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87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 applyProtection="1">
      <alignment horizontal="center" vertical="center"/>
      <protection locked="0"/>
    </xf>
    <xf numFmtId="0" fontId="5" fillId="4" borderId="94" xfId="0" applyFont="1" applyFill="1" applyBorder="1" applyAlignment="1" applyProtection="1">
      <alignment horizontal="center" vertical="center"/>
      <protection locked="0"/>
    </xf>
    <xf numFmtId="0" fontId="5" fillId="4" borderId="87" xfId="0" applyFont="1" applyFill="1" applyBorder="1" applyAlignment="1" applyProtection="1">
      <alignment horizontal="center"/>
      <protection locked="0"/>
    </xf>
    <xf numFmtId="0" fontId="5" fillId="4" borderId="131" xfId="0" applyFont="1" applyFill="1" applyBorder="1" applyAlignment="1" applyProtection="1">
      <alignment horizontal="center"/>
      <protection locked="0"/>
    </xf>
    <xf numFmtId="0" fontId="5" fillId="4" borderId="62" xfId="0" applyFont="1" applyFill="1" applyBorder="1" applyAlignment="1" applyProtection="1">
      <alignment horizontal="center"/>
      <protection locked="0"/>
    </xf>
    <xf numFmtId="0" fontId="5" fillId="4" borderId="9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49" applyNumberFormat="1" applyFill="1" applyAlignment="1" applyProtection="1">
      <alignment/>
      <protection/>
    </xf>
    <xf numFmtId="0" fontId="28" fillId="0" borderId="76" xfId="0" applyFont="1" applyBorder="1" applyAlignment="1" applyProtection="1">
      <alignment horizontal="center"/>
      <protection locked="0"/>
    </xf>
    <xf numFmtId="0" fontId="28" fillId="0" borderId="52" xfId="0" applyFont="1" applyBorder="1" applyAlignment="1" applyProtection="1">
      <alignment/>
      <protection/>
    </xf>
    <xf numFmtId="0" fontId="28" fillId="0" borderId="132" xfId="0" applyFont="1" applyBorder="1" applyAlignment="1" applyProtection="1">
      <alignment/>
      <protection/>
    </xf>
    <xf numFmtId="0" fontId="28" fillId="0" borderId="133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/>
    </xf>
    <xf numFmtId="0" fontId="28" fillId="0" borderId="135" xfId="0" applyFont="1" applyBorder="1" applyAlignment="1" applyProtection="1">
      <alignment horizontal="center"/>
      <protection locked="0"/>
    </xf>
    <xf numFmtId="0" fontId="28" fillId="0" borderId="129" xfId="0" applyFont="1" applyBorder="1" applyAlignment="1" applyProtection="1">
      <alignment horizontal="left"/>
      <protection/>
    </xf>
    <xf numFmtId="0" fontId="0" fillId="0" borderId="134" xfId="0" applyBorder="1" applyAlignment="1" applyProtection="1">
      <alignment/>
      <protection/>
    </xf>
    <xf numFmtId="0" fontId="28" fillId="0" borderId="134" xfId="0" applyFont="1" applyBorder="1" applyAlignment="1" applyProtection="1">
      <alignment/>
      <protection/>
    </xf>
    <xf numFmtId="0" fontId="0" fillId="0" borderId="134" xfId="0" applyBorder="1" applyAlignment="1" applyProtection="1">
      <alignment horizont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7" xfId="0" applyNumberFormat="1" applyFont="1" applyFill="1" applyBorder="1" applyAlignment="1" applyProtection="1">
      <alignment horizontal="center" vertical="center"/>
      <protection/>
    </xf>
    <xf numFmtId="0" fontId="5" fillId="0" borderId="9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3" fillId="0" borderId="0" xfId="49" applyFont="1" applyAlignment="1" applyProtection="1">
      <alignment/>
      <protection locked="0"/>
    </xf>
    <xf numFmtId="20" fontId="5" fillId="0" borderId="91" xfId="0" applyNumberFormat="1" applyFont="1" applyFill="1" applyBorder="1" applyAlignment="1" applyProtection="1">
      <alignment horizontal="center" vertical="center"/>
      <protection/>
    </xf>
    <xf numFmtId="0" fontId="1" fillId="0" borderId="92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5" fillId="0" borderId="114" xfId="0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 locked="0"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5" fillId="4" borderId="138" xfId="0" applyFont="1" applyFill="1" applyBorder="1" applyAlignment="1" applyProtection="1">
      <alignment horizontal="center" vertical="center"/>
      <protection locked="0"/>
    </xf>
    <xf numFmtId="0" fontId="5" fillId="4" borderId="139" xfId="0" applyFont="1" applyFill="1" applyBorder="1" applyAlignment="1" applyProtection="1">
      <alignment horizontal="center" vertical="center"/>
      <protection locked="0"/>
    </xf>
    <xf numFmtId="0" fontId="0" fillId="0" borderId="138" xfId="0" applyFont="1" applyFill="1" applyBorder="1" applyAlignment="1" applyProtection="1">
      <alignment horizontal="center" vertical="center"/>
      <protection/>
    </xf>
    <xf numFmtId="170" fontId="0" fillId="0" borderId="139" xfId="0" applyNumberFormat="1" applyFont="1" applyFill="1" applyBorder="1" applyAlignment="1" applyProtection="1">
      <alignment horizontal="left" vertical="center"/>
      <protection/>
    </xf>
    <xf numFmtId="1" fontId="1" fillId="0" borderId="114" xfId="0" applyNumberFormat="1" applyFont="1" applyFill="1" applyBorder="1" applyAlignment="1" applyProtection="1">
      <alignment horizontal="center" vertical="center"/>
      <protection/>
    </xf>
    <xf numFmtId="1" fontId="0" fillId="0" borderId="138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139" xfId="0" applyNumberFormat="1" applyFont="1" applyFill="1" applyBorder="1" applyAlignment="1" applyProtection="1">
      <alignment horizontal="center" vertical="center"/>
      <protection/>
    </xf>
    <xf numFmtId="0" fontId="0" fillId="0" borderId="140" xfId="0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 applyProtection="1">
      <alignment horizontal="center"/>
      <protection/>
    </xf>
    <xf numFmtId="0" fontId="0" fillId="0" borderId="1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/>
      <protection/>
    </xf>
    <xf numFmtId="1" fontId="0" fillId="0" borderId="89" xfId="0" applyNumberFormat="1" applyFill="1" applyBorder="1" applyAlignment="1" applyProtection="1">
      <alignment horizontal="center"/>
      <protection/>
    </xf>
    <xf numFmtId="166" fontId="62" fillId="0" borderId="76" xfId="0" applyNumberFormat="1" applyFont="1" applyFill="1" applyBorder="1" applyAlignment="1" applyProtection="1">
      <alignment horizontal="center"/>
      <protection/>
    </xf>
    <xf numFmtId="166" fontId="62" fillId="0" borderId="114" xfId="0" applyNumberFormat="1" applyFont="1" applyFill="1" applyBorder="1" applyAlignment="1" applyProtection="1">
      <alignment horizontal="center"/>
      <protection/>
    </xf>
    <xf numFmtId="0" fontId="62" fillId="0" borderId="76" xfId="0" applyFont="1" applyFill="1" applyBorder="1" applyAlignment="1" applyProtection="1">
      <alignment horizontal="center"/>
      <protection/>
    </xf>
    <xf numFmtId="0" fontId="62" fillId="0" borderId="114" xfId="0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86" xfId="0" applyFont="1" applyBorder="1" applyAlignment="1" applyProtection="1">
      <alignment horizontal="left"/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8" fillId="0" borderId="93" xfId="0" applyFont="1" applyBorder="1" applyAlignment="1" applyProtection="1">
      <alignment horizontal="left"/>
      <protection locked="0"/>
    </xf>
    <xf numFmtId="0" fontId="28" fillId="0" borderId="87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28" fillId="0" borderId="9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55" xfId="0" applyFont="1" applyBorder="1" applyAlignment="1" applyProtection="1">
      <alignment horizontal="left"/>
      <protection locked="0"/>
    </xf>
    <xf numFmtId="0" fontId="28" fillId="0" borderId="67" xfId="0" applyFont="1" applyBorder="1" applyAlignment="1" applyProtection="1">
      <alignment horizontal="left"/>
      <protection locked="0"/>
    </xf>
    <xf numFmtId="0" fontId="1" fillId="0" borderId="86" xfId="0" applyFont="1" applyBorder="1" applyAlignment="1" applyProtection="1">
      <alignment horizontal="center"/>
      <protection locked="0"/>
    </xf>
    <xf numFmtId="173" fontId="28" fillId="0" borderId="133" xfId="0" applyNumberFormat="1" applyFont="1" applyBorder="1" applyAlignment="1" applyProtection="1">
      <alignment/>
      <protection/>
    </xf>
    <xf numFmtId="0" fontId="28" fillId="0" borderId="52" xfId="0" applyFont="1" applyBorder="1" applyAlignment="1" applyProtection="1">
      <alignment horizontal="center"/>
      <protection/>
    </xf>
    <xf numFmtId="0" fontId="28" fillId="0" borderId="129" xfId="0" applyFont="1" applyBorder="1" applyAlignment="1" applyProtection="1">
      <alignment horizontal="center"/>
      <protection/>
    </xf>
    <xf numFmtId="0" fontId="28" fillId="0" borderId="133" xfId="0" applyFont="1" applyBorder="1" applyAlignment="1" applyProtection="1">
      <alignment/>
      <protection/>
    </xf>
    <xf numFmtId="0" fontId="28" fillId="0" borderId="133" xfId="0" applyFont="1" applyBorder="1" applyAlignment="1" applyProtection="1">
      <alignment/>
      <protection locked="0"/>
    </xf>
    <xf numFmtId="0" fontId="28" fillId="0" borderId="52" xfId="0" applyFont="1" applyBorder="1" applyAlignment="1" applyProtection="1">
      <alignment/>
      <protection locked="0"/>
    </xf>
    <xf numFmtId="0" fontId="28" fillId="0" borderId="132" xfId="0" applyFont="1" applyBorder="1" applyAlignment="1" applyProtection="1">
      <alignment/>
      <protection locked="0"/>
    </xf>
    <xf numFmtId="173" fontId="28" fillId="0" borderId="133" xfId="0" applyNumberFormat="1" applyFont="1" applyBorder="1" applyAlignment="1" applyProtection="1">
      <alignment/>
      <protection locked="0"/>
    </xf>
    <xf numFmtId="0" fontId="28" fillId="0" borderId="52" xfId="0" applyFont="1" applyBorder="1" applyAlignment="1" applyProtection="1">
      <alignment horizontal="center"/>
      <protection locked="0"/>
    </xf>
    <xf numFmtId="166" fontId="5" fillId="0" borderId="70" xfId="0" applyNumberFormat="1" applyFont="1" applyFill="1" applyBorder="1" applyAlignment="1" applyProtection="1">
      <alignment horizontal="center"/>
      <protection locked="0"/>
    </xf>
    <xf numFmtId="0" fontId="1" fillId="0" borderId="86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1" fillId="0" borderId="93" xfId="0" applyFont="1" applyFill="1" applyBorder="1" applyAlignment="1" applyProtection="1">
      <alignment horizontal="center"/>
      <protection/>
    </xf>
    <xf numFmtId="0" fontId="5" fillId="4" borderId="8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4" borderId="126" xfId="0" applyFont="1" applyFill="1" applyBorder="1" applyAlignment="1" applyProtection="1">
      <alignment horizontal="center"/>
      <protection locked="0"/>
    </xf>
    <xf numFmtId="0" fontId="5" fillId="4" borderId="93" xfId="0" applyFont="1" applyFill="1" applyBorder="1" applyAlignment="1" applyProtection="1">
      <alignment horizontal="center"/>
      <protection locked="0"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 vertical="center"/>
      <protection/>
    </xf>
    <xf numFmtId="1" fontId="1" fillId="0" borderId="86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8" fillId="0" borderId="86" xfId="0" applyFont="1" applyBorder="1" applyAlignment="1" applyProtection="1">
      <alignment horizontal="center"/>
      <protection locked="0"/>
    </xf>
    <xf numFmtId="0" fontId="1" fillId="0" borderId="94" xfId="0" applyFont="1" applyFill="1" applyBorder="1" applyAlignment="1" applyProtection="1">
      <alignment horizontal="center"/>
      <protection locked="0"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1" fontId="1" fillId="0" borderId="130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 applyProtection="1">
      <alignment horizontal="center"/>
      <protection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116" xfId="0" applyFont="1" applyFill="1" applyBorder="1" applyAlignment="1" applyProtection="1">
      <alignment horizontal="center"/>
      <protection/>
    </xf>
    <xf numFmtId="0" fontId="1" fillId="4" borderId="70" xfId="0" applyFont="1" applyFill="1" applyBorder="1" applyAlignment="1" applyProtection="1">
      <alignment horizontal="center" vertical="center"/>
      <protection locked="0"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132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1" fontId="1" fillId="0" borderId="141" xfId="0" applyNumberFormat="1" applyFont="1" applyFill="1" applyBorder="1" applyAlignment="1" applyProtection="1">
      <alignment horizontal="center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1" fontId="1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26" fillId="0" borderId="142" xfId="0" applyFont="1" applyBorder="1" applyAlignment="1" applyProtection="1">
      <alignment horizontal="left" vertical="center"/>
      <protection/>
    </xf>
    <xf numFmtId="0" fontId="26" fillId="0" borderId="14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26" fillId="0" borderId="95" xfId="0" applyFont="1" applyFill="1" applyBorder="1" applyAlignment="1" applyProtection="1">
      <alignment horizontal="center"/>
      <protection/>
    </xf>
    <xf numFmtId="0" fontId="26" fillId="0" borderId="90" xfId="0" applyFont="1" applyFill="1" applyBorder="1" applyAlignment="1" applyProtection="1">
      <alignment horizontal="center"/>
      <protection/>
    </xf>
    <xf numFmtId="0" fontId="26" fillId="0" borderId="9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6" fillId="0" borderId="144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45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6" fillId="4" borderId="128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4" borderId="22" xfId="0" applyFont="1" applyFill="1" applyBorder="1" applyAlignment="1" applyProtection="1">
      <alignment horizontal="center"/>
      <protection locked="0"/>
    </xf>
    <xf numFmtId="0" fontId="26" fillId="4" borderId="26" xfId="0" applyFont="1" applyFill="1" applyBorder="1" applyAlignment="1" applyProtection="1">
      <alignment horizontal="center"/>
      <protection locked="0"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146" xfId="0" applyFont="1" applyFill="1" applyBorder="1" applyAlignment="1" applyProtection="1">
      <alignment horizontal="center"/>
      <protection locked="0"/>
    </xf>
    <xf numFmtId="0" fontId="26" fillId="4" borderId="33" xfId="0" applyFont="1" applyFill="1" applyBorder="1" applyAlignment="1" applyProtection="1">
      <alignment horizontal="center"/>
      <protection locked="0"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40" xfId="0" applyFont="1" applyFill="1" applyBorder="1" applyAlignment="1" applyProtection="1">
      <alignment horizontal="center" vertical="center"/>
      <protection/>
    </xf>
    <xf numFmtId="0" fontId="5" fillId="0" borderId="141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4" borderId="76" xfId="0" applyFont="1" applyFill="1" applyBorder="1" applyAlignment="1" applyProtection="1">
      <alignment horizontal="center" vertical="center"/>
      <protection locked="0"/>
    </xf>
    <xf numFmtId="1" fontId="5" fillId="0" borderId="88" xfId="0" applyNumberFormat="1" applyFont="1" applyFill="1" applyBorder="1" applyAlignment="1" applyProtection="1">
      <alignment horizontal="center" vertical="center"/>
      <protection/>
    </xf>
    <xf numFmtId="1" fontId="5" fillId="0" borderId="13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147" xfId="0" applyFont="1" applyFill="1" applyBorder="1" applyAlignment="1" applyProtection="1">
      <alignment horizontal="center"/>
      <protection/>
    </xf>
    <xf numFmtId="0" fontId="5" fillId="0" borderId="148" xfId="0" applyFont="1" applyFill="1" applyBorder="1" applyAlignment="1" applyProtection="1">
      <alignment horizontal="center"/>
      <protection/>
    </xf>
    <xf numFmtId="0" fontId="5" fillId="0" borderId="149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7" xfId="0" applyFont="1" applyFill="1" applyBorder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1" fillId="4" borderId="114" xfId="0" applyFont="1" applyFill="1" applyBorder="1" applyAlignment="1" applyProtection="1">
      <alignment horizontal="center" vertical="center"/>
      <protection locked="0"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1" fontId="1" fillId="0" borderId="86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1" fontId="1" fillId="0" borderId="93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55" xfId="0" applyNumberFormat="1" applyFont="1" applyFill="1" applyBorder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94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93" xfId="0" applyFont="1" applyFill="1" applyBorder="1" applyAlignment="1" applyProtection="1">
      <alignment horizontal="center"/>
      <protection/>
    </xf>
    <xf numFmtId="0" fontId="0" fillId="0" borderId="15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93" xfId="0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130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62" fillId="0" borderId="88" xfId="0" applyFont="1" applyFill="1" applyBorder="1" applyAlignment="1" applyProtection="1">
      <alignment horizontal="center" vertical="center"/>
      <protection/>
    </xf>
    <xf numFmtId="0" fontId="62" fillId="0" borderId="130" xfId="0" applyFont="1" applyFill="1" applyBorder="1" applyAlignment="1" applyProtection="1">
      <alignment horizontal="center" vertical="center"/>
      <protection/>
    </xf>
    <xf numFmtId="166" fontId="62" fillId="0" borderId="88" xfId="0" applyNumberFormat="1" applyFont="1" applyFill="1" applyBorder="1" applyAlignment="1" applyProtection="1">
      <alignment horizontal="center" vertical="center"/>
      <protection locked="0"/>
    </xf>
    <xf numFmtId="166" fontId="62" fillId="0" borderId="130" xfId="0" applyNumberFormat="1" applyFont="1" applyFill="1" applyBorder="1" applyAlignment="1" applyProtection="1">
      <alignment horizontal="center" vertical="center"/>
      <protection locked="0"/>
    </xf>
    <xf numFmtId="166" fontId="5" fillId="4" borderId="88" xfId="0" applyNumberFormat="1" applyFont="1" applyFill="1" applyBorder="1" applyAlignment="1" applyProtection="1">
      <alignment horizontal="center" vertical="center"/>
      <protection locked="0"/>
    </xf>
    <xf numFmtId="166" fontId="5" fillId="4" borderId="130" xfId="0" applyNumberFormat="1" applyFont="1" applyFill="1" applyBorder="1" applyAlignment="1" applyProtection="1">
      <alignment horizontal="center" vertical="center"/>
      <protection locked="0"/>
    </xf>
    <xf numFmtId="166" fontId="5" fillId="0" borderId="88" xfId="0" applyNumberFormat="1" applyFont="1" applyFill="1" applyBorder="1" applyAlignment="1" applyProtection="1">
      <alignment horizontal="center" vertical="center"/>
      <protection locked="0"/>
    </xf>
    <xf numFmtId="166" fontId="5" fillId="0" borderId="130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93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93" xfId="0" applyFont="1" applyFill="1" applyBorder="1" applyAlignment="1" applyProtection="1">
      <alignment horizont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166" fontId="5" fillId="0" borderId="70" xfId="0" applyNumberFormat="1" applyFont="1" applyFill="1" applyBorder="1" applyAlignment="1" applyProtection="1">
      <alignment horizontal="center" vertical="center"/>
      <protection locked="0"/>
    </xf>
    <xf numFmtId="166" fontId="5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/>
    </xf>
    <xf numFmtId="166" fontId="62" fillId="0" borderId="74" xfId="0" applyNumberFormat="1" applyFont="1" applyFill="1" applyBorder="1" applyAlignment="1" applyProtection="1">
      <alignment horizontal="center" vertical="center"/>
      <protection locked="0"/>
    </xf>
    <xf numFmtId="166" fontId="62" fillId="0" borderId="76" xfId="0" applyNumberFormat="1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Fill="1" applyAlignment="1" applyProtection="1">
      <alignment horizontal="left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146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28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31" fillId="0" borderId="151" xfId="0" applyFont="1" applyBorder="1" applyAlignment="1" applyProtection="1">
      <alignment horizontal="center" textRotation="90"/>
      <protection/>
    </xf>
    <xf numFmtId="0" fontId="31" fillId="0" borderId="50" xfId="0" applyFont="1" applyBorder="1" applyAlignment="1" applyProtection="1">
      <alignment horizontal="center" textRotation="90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1" fillId="0" borderId="152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153" xfId="0" applyFont="1" applyBorder="1" applyAlignment="1" applyProtection="1">
      <alignment horizontal="left"/>
      <protection/>
    </xf>
    <xf numFmtId="0" fontId="64" fillId="0" borderId="0" xfId="0" applyFont="1" applyAlignment="1" applyProtection="1">
      <alignment vertical="center" textRotation="90"/>
      <protection/>
    </xf>
    <xf numFmtId="0" fontId="64" fillId="0" borderId="0" xfId="0" applyFont="1" applyBorder="1" applyAlignment="1" applyProtection="1">
      <alignment vertical="center" textRotation="90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71" fontId="5" fillId="0" borderId="154" xfId="0" applyNumberFormat="1" applyFont="1" applyBorder="1" applyAlignment="1" applyProtection="1">
      <alignment horizontal="center"/>
      <protection/>
    </xf>
    <xf numFmtId="171" fontId="5" fillId="0" borderId="97" xfId="0" applyNumberFormat="1" applyFont="1" applyBorder="1" applyAlignment="1" applyProtection="1">
      <alignment horizontal="center"/>
      <protection/>
    </xf>
    <xf numFmtId="0" fontId="5" fillId="0" borderId="154" xfId="0" applyFont="1" applyBorder="1" applyAlignment="1" applyProtection="1">
      <alignment horizontal="center"/>
      <protection/>
    </xf>
    <xf numFmtId="0" fontId="5" fillId="0" borderId="97" xfId="0" applyFont="1" applyBorder="1" applyAlignment="1" applyProtection="1">
      <alignment horizontal="center"/>
      <protection/>
    </xf>
    <xf numFmtId="0" fontId="5" fillId="0" borderId="125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24" xfId="0" applyNumberFormat="1" applyFont="1" applyBorder="1" applyAlignment="1" applyProtection="1">
      <alignment horizontal="center"/>
      <protection/>
    </xf>
    <xf numFmtId="166" fontId="5" fillId="0" borderId="126" xfId="0" applyNumberFormat="1" applyFont="1" applyBorder="1" applyAlignment="1" applyProtection="1">
      <alignment horizontal="center"/>
      <protection/>
    </xf>
    <xf numFmtId="166" fontId="5" fillId="0" borderId="24" xfId="0" applyNumberFormat="1" applyFont="1" applyBorder="1" applyAlignment="1" applyProtection="1">
      <alignment horizontal="center"/>
      <protection/>
    </xf>
    <xf numFmtId="20" fontId="5" fillId="0" borderId="24" xfId="0" applyNumberFormat="1" applyFont="1" applyBorder="1" applyAlignment="1" applyProtection="1">
      <alignment horizontal="center"/>
      <protection locked="0"/>
    </xf>
    <xf numFmtId="20" fontId="5" fillId="0" borderId="25" xfId="0" applyNumberFormat="1" applyFont="1" applyBorder="1" applyAlignment="1" applyProtection="1">
      <alignment horizontal="center"/>
      <protection locked="0"/>
    </xf>
    <xf numFmtId="0" fontId="5" fillId="0" borderId="126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5" fillId="0" borderId="155" xfId="0" applyFont="1" applyBorder="1" applyAlignment="1" applyProtection="1">
      <alignment horizontal="left"/>
      <protection/>
    </xf>
    <xf numFmtId="0" fontId="5" fillId="0" borderId="145" xfId="0" applyFont="1" applyBorder="1" applyAlignment="1" applyProtection="1">
      <alignment horizontal="left"/>
      <protection/>
    </xf>
    <xf numFmtId="0" fontId="5" fillId="0" borderId="64" xfId="0" applyNumberFormat="1" applyFont="1" applyBorder="1" applyAlignment="1" applyProtection="1">
      <alignment horizontal="center"/>
      <protection/>
    </xf>
    <xf numFmtId="0" fontId="5" fillId="0" borderId="33" xfId="0" applyNumberFormat="1" applyFont="1" applyBorder="1" applyAlignment="1" applyProtection="1">
      <alignment horizontal="center"/>
      <protection/>
    </xf>
    <xf numFmtId="0" fontId="40" fillId="24" borderId="152" xfId="0" applyFont="1" applyFill="1" applyBorder="1" applyAlignment="1" applyProtection="1">
      <alignment horizontal="center" vertical="center"/>
      <protection locked="0"/>
    </xf>
    <xf numFmtId="0" fontId="40" fillId="24" borderId="54" xfId="0" applyFont="1" applyFill="1" applyBorder="1" applyAlignment="1" applyProtection="1">
      <alignment horizontal="center" vertical="center"/>
      <protection locked="0"/>
    </xf>
    <xf numFmtId="0" fontId="40" fillId="24" borderId="18" xfId="0" applyFont="1" applyFill="1" applyBorder="1" applyAlignment="1" applyProtection="1">
      <alignment horizontal="center" vertical="center"/>
      <protection locked="0"/>
    </xf>
    <xf numFmtId="0" fontId="40" fillId="24" borderId="15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94" xfId="0" applyFont="1" applyBorder="1" applyAlignment="1" applyProtection="1">
      <alignment horizontal="center"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4" fillId="0" borderId="157" xfId="0" applyFont="1" applyBorder="1" applyAlignment="1" applyProtection="1">
      <alignment horizontal="center"/>
      <protection locked="0"/>
    </xf>
    <xf numFmtId="20" fontId="4" fillId="0" borderId="158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12" xfId="0" applyFont="1" applyBorder="1" applyAlignment="1" applyProtection="1">
      <alignment horizontal="center"/>
      <protection locked="0"/>
    </xf>
    <xf numFmtId="0" fontId="1" fillId="24" borderId="88" xfId="0" applyFont="1" applyFill="1" applyBorder="1" applyAlignment="1" applyProtection="1">
      <alignment horizontal="center" vertical="center" textRotation="90"/>
      <protection locked="0"/>
    </xf>
    <xf numFmtId="0" fontId="1" fillId="24" borderId="91" xfId="0" applyFont="1" applyFill="1" applyBorder="1" applyAlignment="1" applyProtection="1">
      <alignment horizontal="center" vertical="center" textRotation="90"/>
      <protection locked="0"/>
    </xf>
    <xf numFmtId="0" fontId="1" fillId="0" borderId="159" xfId="0" applyFont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94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141" xfId="0" applyFont="1" applyBorder="1" applyAlignment="1" applyProtection="1">
      <alignment horizontal="center" vertical="center"/>
      <protection locked="0"/>
    </xf>
    <xf numFmtId="0" fontId="2" fillId="0" borderId="16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1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16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45" xfId="0" applyFont="1" applyBorder="1" applyAlignment="1" applyProtection="1">
      <alignment horizontal="center" vertical="center"/>
      <protection locked="0"/>
    </xf>
    <xf numFmtId="0" fontId="0" fillId="20" borderId="47" xfId="0" applyFont="1" applyFill="1" applyBorder="1" applyAlignment="1">
      <alignment horizontal="center"/>
    </xf>
    <xf numFmtId="0" fontId="0" fillId="20" borderId="4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7" xfId="60" applyFont="1" applyBorder="1" applyAlignment="1">
      <alignment horizontal="center" vertical="center" wrapText="1"/>
    </xf>
    <xf numFmtId="44" fontId="1" fillId="0" borderId="18" xfId="60" applyFont="1" applyBorder="1" applyAlignment="1">
      <alignment horizontal="center" vertical="center" wrapText="1"/>
    </xf>
    <xf numFmtId="44" fontId="1" fillId="0" borderId="14" xfId="60" applyFont="1" applyBorder="1" applyAlignment="1">
      <alignment horizontal="center" vertical="center" wrapText="1"/>
    </xf>
    <xf numFmtId="44" fontId="1" fillId="0" borderId="19" xfId="60" applyFont="1" applyBorder="1" applyAlignment="1">
      <alignment horizontal="center" vertical="center" wrapText="1"/>
    </xf>
    <xf numFmtId="44" fontId="1" fillId="0" borderId="0" xfId="60" applyFont="1" applyBorder="1" applyAlignment="1">
      <alignment horizontal="center" vertical="center" wrapText="1"/>
    </xf>
    <xf numFmtId="44" fontId="1" fillId="0" borderId="15" xfId="60" applyFont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15" xfId="0" applyFont="1" applyFill="1" applyBorder="1" applyAlignment="1">
      <alignment horizontal="center"/>
    </xf>
    <xf numFmtId="0" fontId="0" fillId="27" borderId="32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0" fillId="20" borderId="49" xfId="0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20" borderId="3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20" borderId="4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9" fillId="0" borderId="13" xfId="0" applyFont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9" fillId="0" borderId="13" xfId="60" applyFont="1" applyBorder="1" applyAlignment="1">
      <alignment horizontal="center"/>
    </xf>
    <xf numFmtId="0" fontId="2" fillId="21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67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left"/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8" fillId="0" borderId="93" xfId="0" applyFont="1" applyBorder="1" applyAlignment="1" applyProtection="1">
      <alignment horizontal="left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3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1" fontId="28" fillId="0" borderId="93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3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93" xfId="0" applyFont="1" applyBorder="1" applyAlignment="1" applyProtection="1">
      <alignment horizontal="center"/>
      <protection locked="0"/>
    </xf>
    <xf numFmtId="0" fontId="28" fillId="0" borderId="117" xfId="0" applyFont="1" applyBorder="1" applyAlignment="1" applyProtection="1">
      <alignment horizontal="center"/>
      <protection/>
    </xf>
    <xf numFmtId="0" fontId="28" fillId="0" borderId="89" xfId="0" applyFont="1" applyBorder="1" applyAlignment="1" applyProtection="1">
      <alignment horizontal="center"/>
      <protection/>
    </xf>
    <xf numFmtId="0" fontId="28" fillId="0" borderId="116" xfId="0" applyFont="1" applyBorder="1" applyAlignment="1" applyProtection="1">
      <alignment horizontal="center"/>
      <protection/>
    </xf>
    <xf numFmtId="0" fontId="28" fillId="0" borderId="134" xfId="0" applyFont="1" applyBorder="1" applyAlignment="1" applyProtection="1">
      <alignment horizontal="center"/>
      <protection/>
    </xf>
    <xf numFmtId="0" fontId="28" fillId="0" borderId="87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28" fillId="0" borderId="94" xfId="0" applyFont="1" applyBorder="1" applyAlignment="1" applyProtection="1">
      <alignment horizontal="left"/>
      <protection locked="0"/>
    </xf>
    <xf numFmtId="170" fontId="28" fillId="0" borderId="87" xfId="0" applyNumberFormat="1" applyFont="1" applyBorder="1" applyAlignment="1" applyProtection="1">
      <alignment horizontal="center"/>
      <protection locked="0"/>
    </xf>
    <xf numFmtId="170" fontId="28" fillId="0" borderId="94" xfId="0" applyNumberFormat="1" applyFont="1" applyBorder="1" applyAlignment="1" applyProtection="1">
      <alignment horizontal="center"/>
      <protection locked="0"/>
    </xf>
    <xf numFmtId="1" fontId="28" fillId="0" borderId="87" xfId="0" applyNumberFormat="1" applyFont="1" applyBorder="1" applyAlignment="1" applyProtection="1">
      <alignment horizontal="center"/>
      <protection locked="0"/>
    </xf>
    <xf numFmtId="1" fontId="28" fillId="0" borderId="58" xfId="0" applyNumberFormat="1" applyFont="1" applyBorder="1" applyAlignment="1" applyProtection="1">
      <alignment horizontal="center"/>
      <protection locked="0"/>
    </xf>
    <xf numFmtId="1" fontId="28" fillId="0" borderId="94" xfId="0" applyNumberFormat="1" applyFont="1" applyBorder="1" applyAlignment="1" applyProtection="1">
      <alignment horizontal="center"/>
      <protection locked="0"/>
    </xf>
    <xf numFmtId="49" fontId="28" fillId="0" borderId="87" xfId="0" applyNumberFormat="1" applyFont="1" applyBorder="1" applyAlignment="1" applyProtection="1">
      <alignment horizontal="center"/>
      <protection locked="0"/>
    </xf>
    <xf numFmtId="49" fontId="28" fillId="0" borderId="94" xfId="0" applyNumberFormat="1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center"/>
      <protection locked="0"/>
    </xf>
    <xf numFmtId="0" fontId="28" fillId="0" borderId="135" xfId="0" applyFont="1" applyBorder="1" applyAlignment="1" applyProtection="1">
      <alignment horizontal="center"/>
      <protection locked="0"/>
    </xf>
    <xf numFmtId="0" fontId="28" fillId="0" borderId="163" xfId="0" applyFont="1" applyBorder="1" applyAlignment="1" applyProtection="1">
      <alignment horizontal="center"/>
      <protection locked="0"/>
    </xf>
    <xf numFmtId="1" fontId="28" fillId="0" borderId="87" xfId="0" applyNumberFormat="1" applyFont="1" applyFill="1" applyBorder="1" applyAlignment="1" applyProtection="1">
      <alignment horizontal="center"/>
      <protection locked="0"/>
    </xf>
    <xf numFmtId="1" fontId="28" fillId="0" borderId="58" xfId="0" applyNumberFormat="1" applyFont="1" applyFill="1" applyBorder="1" applyAlignment="1" applyProtection="1">
      <alignment horizontal="center"/>
      <protection locked="0"/>
    </xf>
    <xf numFmtId="1" fontId="28" fillId="0" borderId="94" xfId="0" applyNumberFormat="1" applyFont="1" applyFill="1" applyBorder="1" applyAlignment="1" applyProtection="1">
      <alignment horizontal="center"/>
      <protection locked="0"/>
    </xf>
    <xf numFmtId="49" fontId="28" fillId="0" borderId="87" xfId="0" applyNumberFormat="1" applyFont="1" applyFill="1" applyBorder="1" applyAlignment="1" applyProtection="1">
      <alignment horizontal="center"/>
      <protection locked="0"/>
    </xf>
    <xf numFmtId="49" fontId="28" fillId="0" borderId="94" xfId="0" applyNumberFormat="1" applyFont="1" applyFill="1" applyBorder="1" applyAlignment="1" applyProtection="1">
      <alignment horizontal="center"/>
      <protection locked="0"/>
    </xf>
    <xf numFmtId="170" fontId="28" fillId="0" borderId="135" xfId="0" applyNumberFormat="1" applyFont="1" applyBorder="1" applyAlignment="1" applyProtection="1">
      <alignment horizontal="center"/>
      <protection locked="0"/>
    </xf>
    <xf numFmtId="170" fontId="28" fillId="0" borderId="163" xfId="0" applyNumberFormat="1" applyFont="1" applyBorder="1" applyAlignment="1" applyProtection="1">
      <alignment horizontal="center"/>
      <protection locked="0"/>
    </xf>
    <xf numFmtId="1" fontId="28" fillId="0" borderId="135" xfId="0" applyNumberFormat="1" applyFont="1" applyFill="1" applyBorder="1" applyAlignment="1" applyProtection="1">
      <alignment horizontal="center"/>
      <protection locked="0"/>
    </xf>
    <xf numFmtId="1" fontId="28" fillId="0" borderId="97" xfId="0" applyNumberFormat="1" applyFont="1" applyFill="1" applyBorder="1" applyAlignment="1" applyProtection="1">
      <alignment horizontal="center"/>
      <protection locked="0"/>
    </xf>
    <xf numFmtId="1" fontId="28" fillId="0" borderId="163" xfId="0" applyNumberFormat="1" applyFont="1" applyFill="1" applyBorder="1" applyAlignment="1" applyProtection="1">
      <alignment horizontal="center"/>
      <protection locked="0"/>
    </xf>
    <xf numFmtId="49" fontId="28" fillId="0" borderId="135" xfId="0" applyNumberFormat="1" applyFont="1" applyFill="1" applyBorder="1" applyAlignment="1" applyProtection="1">
      <alignment horizontal="center"/>
      <protection locked="0"/>
    </xf>
    <xf numFmtId="49" fontId="28" fillId="0" borderId="16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55" xfId="0" applyFont="1" applyBorder="1" applyAlignment="1" applyProtection="1">
      <alignment horizontal="left"/>
      <protection locked="0"/>
    </xf>
    <xf numFmtId="0" fontId="28" fillId="0" borderId="67" xfId="0" applyFont="1" applyBorder="1" applyAlignment="1" applyProtection="1">
      <alignment horizontal="left"/>
      <protection locked="0"/>
    </xf>
    <xf numFmtId="170" fontId="28" fillId="24" borderId="66" xfId="0" applyNumberFormat="1" applyFont="1" applyFill="1" applyBorder="1" applyAlignment="1" applyProtection="1">
      <alignment horizontal="center"/>
      <protection locked="0"/>
    </xf>
    <xf numFmtId="170" fontId="28" fillId="24" borderId="55" xfId="0" applyNumberFormat="1" applyFont="1" applyFill="1" applyBorder="1" applyAlignment="1" applyProtection="1">
      <alignment horizontal="center"/>
      <protection locked="0"/>
    </xf>
    <xf numFmtId="1" fontId="28" fillId="24" borderId="66" xfId="0" applyNumberFormat="1" applyFont="1" applyFill="1" applyBorder="1" applyAlignment="1" applyProtection="1">
      <alignment horizontal="center"/>
      <protection locked="0"/>
    </xf>
    <xf numFmtId="1" fontId="28" fillId="24" borderId="55" xfId="0" applyNumberFormat="1" applyFont="1" applyFill="1" applyBorder="1" applyAlignment="1" applyProtection="1">
      <alignment horizontal="center"/>
      <protection locked="0"/>
    </xf>
    <xf numFmtId="1" fontId="28" fillId="24" borderId="67" xfId="0" applyNumberFormat="1" applyFont="1" applyFill="1" applyBorder="1" applyAlignment="1" applyProtection="1">
      <alignment horizontal="center"/>
      <protection locked="0"/>
    </xf>
    <xf numFmtId="49" fontId="28" fillId="24" borderId="55" xfId="0" applyNumberFormat="1" applyFont="1" applyFill="1" applyBorder="1" applyAlignment="1" applyProtection="1">
      <alignment horizontal="center"/>
      <protection locked="0"/>
    </xf>
    <xf numFmtId="49" fontId="28" fillId="24" borderId="67" xfId="0" applyNumberFormat="1" applyFont="1" applyFill="1" applyBorder="1" applyAlignment="1" applyProtection="1">
      <alignment horizontal="center"/>
      <protection locked="0"/>
    </xf>
    <xf numFmtId="170" fontId="28" fillId="24" borderId="86" xfId="0" applyNumberFormat="1" applyFont="1" applyFill="1" applyBorder="1" applyAlignment="1" applyProtection="1">
      <alignment horizontal="center"/>
      <protection locked="0"/>
    </xf>
    <xf numFmtId="170" fontId="28" fillId="24" borderId="24" xfId="0" applyNumberFormat="1" applyFont="1" applyFill="1" applyBorder="1" applyAlignment="1" applyProtection="1">
      <alignment horizontal="center"/>
      <protection locked="0"/>
    </xf>
    <xf numFmtId="1" fontId="28" fillId="24" borderId="86" xfId="0" applyNumberFormat="1" applyFont="1" applyFill="1" applyBorder="1" applyAlignment="1" applyProtection="1">
      <alignment horizontal="center"/>
      <protection locked="0"/>
    </xf>
    <xf numFmtId="1" fontId="28" fillId="24" borderId="24" xfId="0" applyNumberFormat="1" applyFont="1" applyFill="1" applyBorder="1" applyAlignment="1" applyProtection="1">
      <alignment horizontal="center"/>
      <protection locked="0"/>
    </xf>
    <xf numFmtId="1" fontId="28" fillId="24" borderId="93" xfId="0" applyNumberFormat="1" applyFont="1" applyFill="1" applyBorder="1" applyAlignment="1" applyProtection="1">
      <alignment horizontal="center"/>
      <protection locked="0"/>
    </xf>
    <xf numFmtId="49" fontId="28" fillId="24" borderId="24" xfId="0" applyNumberFormat="1" applyFont="1" applyFill="1" applyBorder="1" applyAlignment="1" applyProtection="1">
      <alignment horizontal="center"/>
      <protection locked="0"/>
    </xf>
    <xf numFmtId="49" fontId="28" fillId="24" borderId="93" xfId="0" applyNumberFormat="1" applyFont="1" applyFill="1" applyBorder="1" applyAlignment="1" applyProtection="1">
      <alignment horizontal="center"/>
      <protection locked="0"/>
    </xf>
    <xf numFmtId="170" fontId="28" fillId="0" borderId="58" xfId="0" applyNumberFormat="1" applyFont="1" applyBorder="1" applyAlignment="1" applyProtection="1">
      <alignment horizontal="center"/>
      <protection locked="0"/>
    </xf>
    <xf numFmtId="49" fontId="28" fillId="0" borderId="58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 wrapText="1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135" xfId="0" applyFont="1" applyBorder="1" applyAlignment="1" applyProtection="1">
      <alignment horizontal="left"/>
      <protection locked="0"/>
    </xf>
    <xf numFmtId="0" fontId="28" fillId="0" borderId="97" xfId="0" applyFont="1" applyBorder="1" applyAlignment="1" applyProtection="1">
      <alignment horizontal="left"/>
      <protection locked="0"/>
    </xf>
    <xf numFmtId="0" fontId="28" fillId="0" borderId="163" xfId="0" applyFont="1" applyBorder="1" applyAlignment="1" applyProtection="1">
      <alignment horizontal="left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70" fontId="28" fillId="0" borderId="67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1" fontId="28" fillId="0" borderId="55" xfId="0" applyNumberFormat="1" applyFont="1" applyBorder="1" applyAlignment="1" applyProtection="1">
      <alignment horizontal="center"/>
      <protection locked="0"/>
    </xf>
    <xf numFmtId="1" fontId="28" fillId="0" borderId="67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49" fontId="28" fillId="0" borderId="67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55" xfId="0" applyNumberFormat="1" applyFont="1" applyFill="1" applyBorder="1" applyAlignment="1" applyProtection="1">
      <alignment horizontal="center"/>
      <protection locked="0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7" xfId="0" applyNumberFormat="1" applyFont="1" applyFill="1" applyBorder="1" applyAlignment="1" applyProtection="1">
      <alignment horizontal="center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3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1" fontId="28" fillId="0" borderId="93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3" xfId="0" applyNumberFormat="1" applyFont="1" applyBorder="1" applyAlignment="1" applyProtection="1">
      <alignment horizontal="center"/>
      <protection locked="0"/>
    </xf>
    <xf numFmtId="170" fontId="28" fillId="0" borderId="135" xfId="0" applyNumberFormat="1" applyFont="1" applyBorder="1" applyAlignment="1" applyProtection="1">
      <alignment horizontal="center"/>
      <protection locked="0"/>
    </xf>
    <xf numFmtId="170" fontId="28" fillId="0" borderId="163" xfId="0" applyNumberFormat="1" applyFont="1" applyBorder="1" applyAlignment="1" applyProtection="1">
      <alignment horizontal="center"/>
      <protection locked="0"/>
    </xf>
    <xf numFmtId="1" fontId="28" fillId="0" borderId="135" xfId="0" applyNumberFormat="1" applyFont="1" applyBorder="1" applyAlignment="1" applyProtection="1">
      <alignment horizontal="center"/>
      <protection locked="0"/>
    </xf>
    <xf numFmtId="1" fontId="28" fillId="0" borderId="97" xfId="0" applyNumberFormat="1" applyFont="1" applyBorder="1" applyAlignment="1" applyProtection="1">
      <alignment horizontal="center"/>
      <protection locked="0"/>
    </xf>
    <xf numFmtId="1" fontId="28" fillId="0" borderId="163" xfId="0" applyNumberFormat="1" applyFont="1" applyBorder="1" applyAlignment="1" applyProtection="1">
      <alignment horizontal="center"/>
      <protection locked="0"/>
    </xf>
    <xf numFmtId="49" fontId="28" fillId="0" borderId="135" xfId="0" applyNumberFormat="1" applyFont="1" applyBorder="1" applyAlignment="1" applyProtection="1">
      <alignment horizontal="center"/>
      <protection locked="0"/>
    </xf>
    <xf numFmtId="49" fontId="28" fillId="0" borderId="163" xfId="0" applyNumberFormat="1" applyFont="1" applyBorder="1" applyAlignment="1" applyProtection="1">
      <alignment horizontal="center"/>
      <protection locked="0"/>
    </xf>
    <xf numFmtId="0" fontId="28" fillId="0" borderId="88" xfId="0" applyFont="1" applyBorder="1" applyAlignment="1" applyProtection="1">
      <alignment horizontal="center"/>
      <protection/>
    </xf>
    <xf numFmtId="170" fontId="28" fillId="0" borderId="87" xfId="0" applyNumberFormat="1" applyFont="1" applyBorder="1" applyAlignment="1" applyProtection="1">
      <alignment horizontal="center"/>
      <protection locked="0"/>
    </xf>
    <xf numFmtId="170" fontId="28" fillId="0" borderId="94" xfId="0" applyNumberFormat="1" applyFont="1" applyBorder="1" applyAlignment="1" applyProtection="1">
      <alignment horizontal="center"/>
      <protection locked="0"/>
    </xf>
    <xf numFmtId="1" fontId="28" fillId="0" borderId="87" xfId="0" applyNumberFormat="1" applyFont="1" applyBorder="1" applyAlignment="1" applyProtection="1">
      <alignment horizontal="center"/>
      <protection locked="0"/>
    </xf>
    <xf numFmtId="1" fontId="28" fillId="0" borderId="58" xfId="0" applyNumberFormat="1" applyFont="1" applyBorder="1" applyAlignment="1" applyProtection="1">
      <alignment horizontal="center"/>
      <protection locked="0"/>
    </xf>
    <xf numFmtId="1" fontId="28" fillId="0" borderId="94" xfId="0" applyNumberFormat="1" applyFont="1" applyBorder="1" applyAlignment="1" applyProtection="1">
      <alignment horizontal="center"/>
      <protection locked="0"/>
    </xf>
    <xf numFmtId="49" fontId="28" fillId="0" borderId="87" xfId="0" applyNumberFormat="1" applyFont="1" applyBorder="1" applyAlignment="1" applyProtection="1">
      <alignment horizontal="center"/>
      <protection locked="0"/>
    </xf>
    <xf numFmtId="49" fontId="28" fillId="0" borderId="94" xfId="0" applyNumberFormat="1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28" fillId="0" borderId="94" xfId="0" applyFont="1" applyBorder="1" applyAlignment="1" applyProtection="1">
      <alignment horizontal="left"/>
      <protection locked="0"/>
    </xf>
    <xf numFmtId="1" fontId="28" fillId="0" borderId="87" xfId="0" applyNumberFormat="1" applyFont="1" applyFill="1" applyBorder="1" applyAlignment="1" applyProtection="1">
      <alignment horizontal="center"/>
      <protection locked="0"/>
    </xf>
    <xf numFmtId="1" fontId="28" fillId="0" borderId="58" xfId="0" applyNumberFormat="1" applyFont="1" applyFill="1" applyBorder="1" applyAlignment="1" applyProtection="1">
      <alignment horizontal="center"/>
      <protection locked="0"/>
    </xf>
    <xf numFmtId="1" fontId="28" fillId="0" borderId="94" xfId="0" applyNumberFormat="1" applyFont="1" applyFill="1" applyBorder="1" applyAlignment="1" applyProtection="1">
      <alignment horizontal="center"/>
      <protection locked="0"/>
    </xf>
    <xf numFmtId="49" fontId="28" fillId="0" borderId="87" xfId="0" applyNumberFormat="1" applyFont="1" applyFill="1" applyBorder="1" applyAlignment="1" applyProtection="1">
      <alignment horizontal="center"/>
      <protection locked="0"/>
    </xf>
    <xf numFmtId="49" fontId="28" fillId="0" borderId="94" xfId="0" applyNumberFormat="1" applyFont="1" applyFill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55" xfId="0" applyFont="1" applyBorder="1" applyAlignment="1" applyProtection="1">
      <alignment horizontal="left"/>
      <protection locked="0"/>
    </xf>
    <xf numFmtId="0" fontId="28" fillId="0" borderId="67" xfId="0" applyFont="1" applyBorder="1" applyAlignment="1" applyProtection="1">
      <alignment horizontal="left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70" fontId="28" fillId="0" borderId="67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55" xfId="0" applyNumberFormat="1" applyFont="1" applyFill="1" applyBorder="1" applyAlignment="1" applyProtection="1">
      <alignment horizontal="center"/>
      <protection locked="0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7" xfId="0" applyNumberFormat="1" applyFont="1" applyFill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left"/>
      <protection locked="0"/>
    </xf>
    <xf numFmtId="170" fontId="28" fillId="0" borderId="74" xfId="0" applyNumberFormat="1" applyFont="1" applyBorder="1" applyAlignment="1" applyProtection="1">
      <alignment horizontal="center"/>
      <protection locked="0"/>
    </xf>
    <xf numFmtId="1" fontId="28" fillId="0" borderId="74" xfId="0" applyNumberFormat="1" applyFont="1" applyBorder="1" applyAlignment="1" applyProtection="1">
      <alignment horizontal="center"/>
      <protection locked="0"/>
    </xf>
    <xf numFmtId="49" fontId="28" fillId="0" borderId="74" xfId="0" applyNumberFormat="1" applyFont="1" applyBorder="1" applyAlignment="1" applyProtection="1">
      <alignment horizontal="center"/>
      <protection locked="0"/>
    </xf>
    <xf numFmtId="0" fontId="28" fillId="0" borderId="70" xfId="0" applyFont="1" applyBorder="1" applyAlignment="1" applyProtection="1">
      <alignment horizontal="left"/>
      <protection locked="0"/>
    </xf>
    <xf numFmtId="170" fontId="28" fillId="0" borderId="70" xfId="0" applyNumberFormat="1" applyFont="1" applyBorder="1" applyAlignment="1" applyProtection="1">
      <alignment horizontal="center"/>
      <protection locked="0"/>
    </xf>
    <xf numFmtId="1" fontId="28" fillId="0" borderId="70" xfId="0" applyNumberFormat="1" applyFont="1" applyBorder="1" applyAlignment="1" applyProtection="1">
      <alignment horizontal="center"/>
      <protection locked="0"/>
    </xf>
    <xf numFmtId="49" fontId="28" fillId="0" borderId="70" xfId="0" applyNumberFormat="1" applyFont="1" applyBorder="1" applyAlignment="1" applyProtection="1">
      <alignment horizontal="center"/>
      <protection locked="0"/>
    </xf>
    <xf numFmtId="0" fontId="28" fillId="0" borderId="76" xfId="0" applyFont="1" applyBorder="1" applyAlignment="1" applyProtection="1">
      <alignment horizontal="left"/>
      <protection locked="0"/>
    </xf>
    <xf numFmtId="170" fontId="28" fillId="0" borderId="76" xfId="0" applyNumberFormat="1" applyFont="1" applyBorder="1" applyAlignment="1" applyProtection="1">
      <alignment horizontal="center"/>
      <protection locked="0"/>
    </xf>
    <xf numFmtId="1" fontId="28" fillId="0" borderId="76" xfId="0" applyNumberFormat="1" applyFont="1" applyBorder="1" applyAlignment="1" applyProtection="1">
      <alignment horizontal="center"/>
      <protection locked="0"/>
    </xf>
    <xf numFmtId="49" fontId="28" fillId="0" borderId="76" xfId="0" applyNumberFormat="1" applyFont="1" applyBorder="1" applyAlignment="1" applyProtection="1">
      <alignment horizontal="center"/>
      <protection locked="0"/>
    </xf>
    <xf numFmtId="1" fontId="28" fillId="0" borderId="76" xfId="0" applyNumberFormat="1" applyFont="1" applyFill="1" applyBorder="1" applyAlignment="1" applyProtection="1">
      <alignment horizontal="center"/>
      <protection locked="0"/>
    </xf>
    <xf numFmtId="49" fontId="28" fillId="0" borderId="76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1" fontId="28" fillId="0" borderId="55" xfId="0" applyNumberFormat="1" applyFont="1" applyBorder="1" applyAlignment="1" applyProtection="1">
      <alignment horizontal="center"/>
      <protection locked="0"/>
    </xf>
    <xf numFmtId="1" fontId="28" fillId="0" borderId="67" xfId="0" applyNumberFormat="1" applyFont="1" applyBorder="1" applyAlignment="1" applyProtection="1">
      <alignment horizontal="center"/>
      <protection locked="0"/>
    </xf>
    <xf numFmtId="1" fontId="28" fillId="0" borderId="135" xfId="0" applyNumberFormat="1" applyFont="1" applyBorder="1" applyAlignment="1" applyProtection="1">
      <alignment horizontal="center"/>
      <protection locked="0"/>
    </xf>
    <xf numFmtId="1" fontId="28" fillId="0" borderId="97" xfId="0" applyNumberFormat="1" applyFont="1" applyBorder="1" applyAlignment="1" applyProtection="1">
      <alignment horizontal="center"/>
      <protection locked="0"/>
    </xf>
    <xf numFmtId="1" fontId="28" fillId="0" borderId="163" xfId="0" applyNumberFormat="1" applyFont="1" applyBorder="1" applyAlignment="1" applyProtection="1">
      <alignment horizontal="center"/>
      <protection locked="0"/>
    </xf>
    <xf numFmtId="49" fontId="28" fillId="0" borderId="135" xfId="0" applyNumberFormat="1" applyFont="1" applyBorder="1" applyAlignment="1" applyProtection="1">
      <alignment horizontal="center"/>
      <protection locked="0"/>
    </xf>
    <xf numFmtId="49" fontId="28" fillId="0" borderId="163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49" fontId="28" fillId="0" borderId="67" xfId="0" applyNumberFormat="1" applyFont="1" applyBorder="1" applyAlignment="1" applyProtection="1">
      <alignment horizontal="center"/>
      <protection locked="0"/>
    </xf>
    <xf numFmtId="0" fontId="28" fillId="0" borderId="117" xfId="0" applyFont="1" applyBorder="1" applyAlignment="1" applyProtection="1">
      <alignment horizontal="left"/>
      <protection locked="0"/>
    </xf>
    <xf numFmtId="0" fontId="28" fillId="0" borderId="89" xfId="0" applyFont="1" applyBorder="1" applyAlignment="1" applyProtection="1">
      <alignment horizontal="left"/>
      <protection locked="0"/>
    </xf>
    <xf numFmtId="0" fontId="28" fillId="0" borderId="116" xfId="0" applyFont="1" applyBorder="1" applyAlignment="1" applyProtection="1">
      <alignment horizontal="left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jpeg" /><Relationship Id="rId5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8</xdr:col>
      <xdr:colOff>0</xdr:colOff>
      <xdr:row>2</xdr:row>
      <xdr:rowOff>238125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7</xdr:col>
      <xdr:colOff>123825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180975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>
      <xdr:nvSpPr>
        <xdr:cNvPr id="11" name="TextBox 706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>
      <xdr:nvSpPr>
        <xdr:cNvPr id="12" name="TextBox 707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38100</xdr:rowOff>
    </xdr:to>
    <xdr:pic>
      <xdr:nvPicPr>
        <xdr:cNvPr id="13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0</xdr:rowOff>
    </xdr:from>
    <xdr:to>
      <xdr:col>8</xdr:col>
      <xdr:colOff>9525</xdr:colOff>
      <xdr:row>3</xdr:row>
      <xdr:rowOff>0</xdr:rowOff>
    </xdr:to>
    <xdr:pic>
      <xdr:nvPicPr>
        <xdr:cNvPr id="14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95250</xdr:rowOff>
    </xdr:from>
    <xdr:to>
      <xdr:col>3</xdr:col>
      <xdr:colOff>371475</xdr:colOff>
      <xdr:row>30</xdr:row>
      <xdr:rowOff>123825</xdr:rowOff>
    </xdr:to>
    <xdr:sp>
      <xdr:nvSpPr>
        <xdr:cNvPr id="15" name="Rectangle 52"/>
        <xdr:cNvSpPr>
          <a:spLocks/>
        </xdr:cNvSpPr>
      </xdr:nvSpPr>
      <xdr:spPr>
        <a:xfrm>
          <a:off x="1714500" y="8296275"/>
          <a:ext cx="942975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TSV Wiesental
</a:t>
          </a:r>
        </a:p>
      </xdr:txBody>
    </xdr:sp>
    <xdr:clientData/>
  </xdr:twoCellAnchor>
  <xdr:twoCellAnchor>
    <xdr:from>
      <xdr:col>3</xdr:col>
      <xdr:colOff>409575</xdr:colOff>
      <xdr:row>27</xdr:row>
      <xdr:rowOff>28575</xdr:rowOff>
    </xdr:from>
    <xdr:to>
      <xdr:col>3</xdr:col>
      <xdr:colOff>1133475</xdr:colOff>
      <xdr:row>28</xdr:row>
      <xdr:rowOff>47625</xdr:rowOff>
    </xdr:to>
    <xdr:sp>
      <xdr:nvSpPr>
        <xdr:cNvPr id="16" name="Rectangle 52"/>
        <xdr:cNvSpPr>
          <a:spLocks/>
        </xdr:cNvSpPr>
      </xdr:nvSpPr>
      <xdr:spPr>
        <a:xfrm>
          <a:off x="2695575" y="7905750"/>
          <a:ext cx="72390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Segnitz
</a:t>
          </a:r>
        </a:p>
      </xdr:txBody>
    </xdr:sp>
    <xdr:clientData/>
  </xdr:twoCellAnchor>
  <xdr:twoCellAnchor>
    <xdr:from>
      <xdr:col>6</xdr:col>
      <xdr:colOff>142875</xdr:colOff>
      <xdr:row>15</xdr:row>
      <xdr:rowOff>352425</xdr:rowOff>
    </xdr:from>
    <xdr:to>
      <xdr:col>7</xdr:col>
      <xdr:colOff>600075</xdr:colOff>
      <xdr:row>16</xdr:row>
      <xdr:rowOff>161925</xdr:rowOff>
    </xdr:to>
    <xdr:sp>
      <xdr:nvSpPr>
        <xdr:cNvPr id="17" name="Rectangle 52"/>
        <xdr:cNvSpPr>
          <a:spLocks/>
        </xdr:cNvSpPr>
      </xdr:nvSpPr>
      <xdr:spPr>
        <a:xfrm>
          <a:off x="5124450" y="4886325"/>
          <a:ext cx="12192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SG Stern Kaulsdorf
</a:t>
          </a:r>
        </a:p>
      </xdr:txBody>
    </xdr:sp>
    <xdr:clientData/>
  </xdr:twoCellAnchor>
  <xdr:twoCellAnchor>
    <xdr:from>
      <xdr:col>1</xdr:col>
      <xdr:colOff>466725</xdr:colOff>
      <xdr:row>27</xdr:row>
      <xdr:rowOff>28575</xdr:rowOff>
    </xdr:from>
    <xdr:to>
      <xdr:col>3</xdr:col>
      <xdr:colOff>400050</xdr:colOff>
      <xdr:row>28</xdr:row>
      <xdr:rowOff>47625</xdr:rowOff>
    </xdr:to>
    <xdr:sp>
      <xdr:nvSpPr>
        <xdr:cNvPr id="18" name="Rectangle 52"/>
        <xdr:cNvSpPr>
          <a:spLocks/>
        </xdr:cNvSpPr>
      </xdr:nvSpPr>
      <xdr:spPr>
        <a:xfrm>
          <a:off x="1228725" y="7905750"/>
          <a:ext cx="14573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Wünschmichelbach
</a:t>
          </a:r>
        </a:p>
      </xdr:txBody>
    </xdr:sp>
    <xdr:clientData/>
  </xdr:twoCellAnchor>
  <xdr:twoCellAnchor>
    <xdr:from>
      <xdr:col>2</xdr:col>
      <xdr:colOff>485775</xdr:colOff>
      <xdr:row>33</xdr:row>
      <xdr:rowOff>9525</xdr:rowOff>
    </xdr:from>
    <xdr:to>
      <xdr:col>3</xdr:col>
      <xdr:colOff>561975</xdr:colOff>
      <xdr:row>34</xdr:row>
      <xdr:rowOff>28575</xdr:rowOff>
    </xdr:to>
    <xdr:sp>
      <xdr:nvSpPr>
        <xdr:cNvPr id="19" name="Rectangle 52"/>
        <xdr:cNvSpPr>
          <a:spLocks/>
        </xdr:cNvSpPr>
      </xdr:nvSpPr>
      <xdr:spPr>
        <a:xfrm>
          <a:off x="2009775" y="8858250"/>
          <a:ext cx="83820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VfB Stuttgart
</a:t>
          </a:r>
        </a:p>
      </xdr:txBody>
    </xdr:sp>
    <xdr:clientData/>
  </xdr:twoCellAnchor>
  <xdr:twoCellAnchor>
    <xdr:from>
      <xdr:col>1</xdr:col>
      <xdr:colOff>276225</xdr:colOff>
      <xdr:row>36</xdr:row>
      <xdr:rowOff>38100</xdr:rowOff>
    </xdr:from>
    <xdr:to>
      <xdr:col>2</xdr:col>
      <xdr:colOff>457200</xdr:colOff>
      <xdr:row>37</xdr:row>
      <xdr:rowOff>66675</xdr:rowOff>
    </xdr:to>
    <xdr:sp>
      <xdr:nvSpPr>
        <xdr:cNvPr id="20" name="Rectangle 52"/>
        <xdr:cNvSpPr>
          <a:spLocks/>
        </xdr:cNvSpPr>
      </xdr:nvSpPr>
      <xdr:spPr>
        <a:xfrm>
          <a:off x="1038225" y="9372600"/>
          <a:ext cx="9429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Dinglingen
</a:t>
          </a:r>
        </a:p>
      </xdr:txBody>
    </xdr:sp>
    <xdr:clientData/>
  </xdr:twoCellAnchor>
  <xdr:twoCellAnchor>
    <xdr:from>
      <xdr:col>3</xdr:col>
      <xdr:colOff>1285875</xdr:colOff>
      <xdr:row>19</xdr:row>
      <xdr:rowOff>276225</xdr:rowOff>
    </xdr:from>
    <xdr:to>
      <xdr:col>5</xdr:col>
      <xdr:colOff>971550</xdr:colOff>
      <xdr:row>20</xdr:row>
      <xdr:rowOff>104775</xdr:rowOff>
    </xdr:to>
    <xdr:sp>
      <xdr:nvSpPr>
        <xdr:cNvPr id="21" name="Rectangle 52"/>
        <xdr:cNvSpPr>
          <a:spLocks/>
        </xdr:cNvSpPr>
      </xdr:nvSpPr>
      <xdr:spPr>
        <a:xfrm>
          <a:off x="3571875" y="6334125"/>
          <a:ext cx="134302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MSV Buna Schkopau
</a:t>
          </a:r>
        </a:p>
      </xdr:txBody>
    </xdr:sp>
    <xdr:clientData/>
  </xdr:twoCellAnchor>
  <xdr:twoCellAnchor>
    <xdr:from>
      <xdr:col>0</xdr:col>
      <xdr:colOff>28575</xdr:colOff>
      <xdr:row>30</xdr:row>
      <xdr:rowOff>38100</xdr:rowOff>
    </xdr:from>
    <xdr:to>
      <xdr:col>1</xdr:col>
      <xdr:colOff>152400</xdr:colOff>
      <xdr:row>31</xdr:row>
      <xdr:rowOff>66675</xdr:rowOff>
    </xdr:to>
    <xdr:sp>
      <xdr:nvSpPr>
        <xdr:cNvPr id="22" name="Rectangle 52"/>
        <xdr:cNvSpPr>
          <a:spLocks/>
        </xdr:cNvSpPr>
      </xdr:nvSpPr>
      <xdr:spPr>
        <a:xfrm>
          <a:off x="28575" y="8401050"/>
          <a:ext cx="8858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Klarenthal
</a:t>
          </a:r>
        </a:p>
      </xdr:txBody>
    </xdr:sp>
    <xdr:clientData/>
  </xdr:twoCellAnchor>
  <xdr:twoCellAnchor>
    <xdr:from>
      <xdr:col>1</xdr:col>
      <xdr:colOff>685800</xdr:colOff>
      <xdr:row>14</xdr:row>
      <xdr:rowOff>342900</xdr:rowOff>
    </xdr:from>
    <xdr:to>
      <xdr:col>3</xdr:col>
      <xdr:colOff>104775</xdr:colOff>
      <xdr:row>15</xdr:row>
      <xdr:rowOff>152400</xdr:rowOff>
    </xdr:to>
    <xdr:sp>
      <xdr:nvSpPr>
        <xdr:cNvPr id="23" name="Rectangle 52"/>
        <xdr:cNvSpPr>
          <a:spLocks/>
        </xdr:cNvSpPr>
      </xdr:nvSpPr>
      <xdr:spPr>
        <a:xfrm>
          <a:off x="1447800" y="4495800"/>
          <a:ext cx="9429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GH Brettorf
</a:t>
          </a:r>
        </a:p>
      </xdr:txBody>
    </xdr:sp>
    <xdr:clientData/>
  </xdr:twoCellAnchor>
  <xdr:twoCellAnchor>
    <xdr:from>
      <xdr:col>1</xdr:col>
      <xdr:colOff>114300</xdr:colOff>
      <xdr:row>19</xdr:row>
      <xdr:rowOff>228600</xdr:rowOff>
    </xdr:from>
    <xdr:to>
      <xdr:col>2</xdr:col>
      <xdr:colOff>495300</xdr:colOff>
      <xdr:row>20</xdr:row>
      <xdr:rowOff>47625</xdr:rowOff>
    </xdr:to>
    <xdr:sp>
      <xdr:nvSpPr>
        <xdr:cNvPr id="24" name="Rectangle 52"/>
        <xdr:cNvSpPr>
          <a:spLocks/>
        </xdr:cNvSpPr>
      </xdr:nvSpPr>
      <xdr:spPr>
        <a:xfrm>
          <a:off x="876300" y="6286500"/>
          <a:ext cx="1143000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Bayer Leverkusen
</a:t>
          </a:r>
        </a:p>
      </xdr:txBody>
    </xdr:sp>
    <xdr:clientData/>
  </xdr:twoCellAnchor>
  <xdr:twoCellAnchor>
    <xdr:from>
      <xdr:col>3</xdr:col>
      <xdr:colOff>400050</xdr:colOff>
      <xdr:row>13</xdr:row>
      <xdr:rowOff>314325</xdr:rowOff>
    </xdr:from>
    <xdr:to>
      <xdr:col>3</xdr:col>
      <xdr:colOff>1285875</xdr:colOff>
      <xdr:row>14</xdr:row>
      <xdr:rowOff>114300</xdr:rowOff>
    </xdr:to>
    <xdr:sp>
      <xdr:nvSpPr>
        <xdr:cNvPr id="25" name="Rectangle 52"/>
        <xdr:cNvSpPr>
          <a:spLocks/>
        </xdr:cNvSpPr>
      </xdr:nvSpPr>
      <xdr:spPr>
        <a:xfrm>
          <a:off x="2686050" y="4086225"/>
          <a:ext cx="8858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ETV Hamburg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990600</xdr:colOff>
      <xdr:row>2</xdr:row>
      <xdr:rowOff>95250</xdr:rowOff>
    </xdr:from>
    <xdr:to>
      <xdr:col>7</xdr:col>
      <xdr:colOff>1066800</xdr:colOff>
      <xdr:row>2</xdr:row>
      <xdr:rowOff>171450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7334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57150</xdr:rowOff>
    </xdr:to>
    <xdr:pic>
      <xdr:nvPicPr>
        <xdr:cNvPr id="4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0</xdr:row>
      <xdr:rowOff>9525</xdr:rowOff>
    </xdr:from>
    <xdr:to>
      <xdr:col>16</xdr:col>
      <xdr:colOff>1095375</xdr:colOff>
      <xdr:row>3</xdr:row>
      <xdr:rowOff>104775</xdr:rowOff>
    </xdr:to>
    <xdr:pic>
      <xdr:nvPicPr>
        <xdr:cNvPr id="5" name="Picture 1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9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0</xdr:rowOff>
    </xdr:from>
    <xdr:to>
      <xdr:col>17</xdr:col>
      <xdr:colOff>428625</xdr:colOff>
      <xdr:row>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4</xdr:row>
      <xdr:rowOff>123825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1409700</xdr:colOff>
      <xdr:row>0</xdr:row>
      <xdr:rowOff>0</xdr:rowOff>
    </xdr:from>
    <xdr:to>
      <xdr:col>22</xdr:col>
      <xdr:colOff>666750</xdr:colOff>
      <xdr:row>6</xdr:row>
      <xdr:rowOff>104775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2</xdr:row>
      <xdr:rowOff>228600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1428750</xdr:colOff>
      <xdr:row>0</xdr:row>
      <xdr:rowOff>0</xdr:rowOff>
    </xdr:from>
    <xdr:to>
      <xdr:col>21</xdr:col>
      <xdr:colOff>676275</xdr:colOff>
      <xdr:row>3</xdr:row>
      <xdr:rowOff>123825</xdr:rowOff>
    </xdr:to>
    <xdr:pic>
      <xdr:nvPicPr>
        <xdr:cNvPr id="2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19050</xdr:colOff>
      <xdr:row>0</xdr:row>
      <xdr:rowOff>371475</xdr:rowOff>
    </xdr:from>
    <xdr:to>
      <xdr:col>33</xdr:col>
      <xdr:colOff>180975</xdr:colOff>
      <xdr:row>3</xdr:row>
      <xdr:rowOff>76200</xdr:rowOff>
    </xdr:to>
    <xdr:pic>
      <xdr:nvPicPr>
        <xdr:cNvPr id="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7147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95250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41</xdr:col>
      <xdr:colOff>590550</xdr:colOff>
      <xdr:row>3</xdr:row>
      <xdr:rowOff>209550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41</xdr:col>
      <xdr:colOff>590550</xdr:colOff>
      <xdr:row>3</xdr:row>
      <xdr:rowOff>209550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95250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JA_NOT~1\LOKALE~1\Temp\Gesamtplan%20Feld%202010%20Sch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plan Sa"/>
      <sheetName val="Gesamtplan So"/>
    </sheetNames>
    <sheetDataSet>
      <sheetData sheetId="0">
        <row r="34">
          <cell r="E34" t="str">
            <v>R. Schlotter</v>
          </cell>
          <cell r="H34" t="str">
            <v>St. Schiep</v>
          </cell>
        </row>
        <row r="35">
          <cell r="E35" t="str">
            <v>St. Lutz</v>
          </cell>
          <cell r="H35" t="str">
            <v>R. Happersberger</v>
          </cell>
        </row>
        <row r="36">
          <cell r="E36" t="str">
            <v>T. Ohlrich</v>
          </cell>
          <cell r="H36" t="str">
            <v>H. Appel</v>
          </cell>
        </row>
        <row r="37">
          <cell r="E37" t="str">
            <v>M. Niedermayer</v>
          </cell>
          <cell r="H37" t="str">
            <v>G. Heyne</v>
          </cell>
        </row>
        <row r="38">
          <cell r="E38" t="str">
            <v>HP Brosig</v>
          </cell>
          <cell r="H38" t="str">
            <v>A. Breithaupt</v>
          </cell>
        </row>
        <row r="39">
          <cell r="E39" t="str">
            <v>H. Appel</v>
          </cell>
          <cell r="H39" t="str">
            <v>M. Niedermayer</v>
          </cell>
        </row>
        <row r="40">
          <cell r="E40" t="str">
            <v>St. Lutz</v>
          </cell>
          <cell r="H40" t="str">
            <v>R. Happersberger</v>
          </cell>
        </row>
        <row r="41">
          <cell r="E41" t="str">
            <v>G. Wolff</v>
          </cell>
          <cell r="H41" t="str">
            <v>A. Gruhlke</v>
          </cell>
        </row>
        <row r="42">
          <cell r="E42" t="str">
            <v>V. Reich</v>
          </cell>
          <cell r="H42" t="str">
            <v>G. Heyne</v>
          </cell>
        </row>
        <row r="43">
          <cell r="E43" t="str">
            <v>M. Reinhard</v>
          </cell>
          <cell r="H43" t="str">
            <v>G. Wolff</v>
          </cell>
        </row>
      </sheetData>
      <sheetData sheetId="1">
        <row r="17">
          <cell r="V17">
            <v>30</v>
          </cell>
          <cell r="W17" t="str">
            <v>HP Brosig, A. Breithaupt</v>
          </cell>
        </row>
        <row r="18">
          <cell r="V18">
            <v>31</v>
          </cell>
          <cell r="W18" t="str">
            <v>G. Wolf, A. Gruhlke</v>
          </cell>
        </row>
        <row r="32">
          <cell r="E32" t="str">
            <v>HP Brosig</v>
          </cell>
          <cell r="I32" t="str">
            <v>A. Breithaupt</v>
          </cell>
        </row>
        <row r="34">
          <cell r="E34" t="str">
            <v>V. Reich</v>
          </cell>
          <cell r="I34" t="str">
            <v>R. Happersberger</v>
          </cell>
        </row>
        <row r="36">
          <cell r="E36" t="str">
            <v>M. Niedermayer</v>
          </cell>
          <cell r="I36" t="str">
            <v>G. Heyne</v>
          </cell>
        </row>
        <row r="38">
          <cell r="E38" t="str">
            <v>R. Happersberger</v>
          </cell>
          <cell r="I38" t="str">
            <v>HP Brosig</v>
          </cell>
        </row>
        <row r="47">
          <cell r="I47" t="str">
            <v>M. Niedermayer</v>
          </cell>
        </row>
        <row r="48">
          <cell r="I48" t="str">
            <v>St. Lutz</v>
          </cell>
        </row>
        <row r="50">
          <cell r="I50" t="str">
            <v>R. Happersberger</v>
          </cell>
        </row>
        <row r="51">
          <cell r="E51" t="str">
            <v>A. Breithaupt</v>
          </cell>
        </row>
        <row r="53">
          <cell r="E53" t="str">
            <v>HP Brosig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-zink@t-online.de" TargetMode="External" /><Relationship Id="rId2" Type="http://schemas.openxmlformats.org/officeDocument/2006/relationships/hyperlink" Target="mailto:siegfried.linke@dtb-faustball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4"/>
  <sheetViews>
    <sheetView zoomScalePageLayoutView="0" workbookViewId="0" topLeftCell="A1">
      <selection activeCell="F1" sqref="F1:AD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40" t="s">
        <v>129</v>
      </c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42" t="s">
        <v>83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</row>
    <row r="4" spans="1:35" ht="19.5" customHeight="1">
      <c r="A4" s="643" t="s">
        <v>106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</row>
    <row r="5" spans="1:35" ht="18">
      <c r="A5" s="643" t="s">
        <v>231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</row>
    <row r="6" spans="1:35" ht="18">
      <c r="A6" s="643" t="s">
        <v>232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643"/>
      <c r="AF6" s="643"/>
      <c r="AG6" s="643"/>
      <c r="AH6" s="643"/>
      <c r="AI6" s="643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86</v>
      </c>
      <c r="C10" s="16"/>
      <c r="D10" s="18" t="s">
        <v>96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87</v>
      </c>
      <c r="C11" s="16" t="s">
        <v>97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108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203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205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88</v>
      </c>
      <c r="C15" s="16" t="s">
        <v>98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230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89</v>
      </c>
      <c r="C17" s="16" t="s">
        <v>99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230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202</v>
      </c>
      <c r="C19" s="16" t="s">
        <v>204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212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206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8" t="s">
        <v>207</v>
      </c>
      <c r="AE21" s="209"/>
      <c r="AF21" s="16" t="s">
        <v>208</v>
      </c>
    </row>
    <row r="22" spans="1:32" s="17" customFormat="1" ht="15.75" customHeight="1">
      <c r="A22" s="16"/>
      <c r="B22" s="16"/>
      <c r="C22" s="16" t="s">
        <v>209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210</v>
      </c>
      <c r="R22" s="19"/>
      <c r="S22" s="16" t="s">
        <v>211</v>
      </c>
      <c r="T22" s="16"/>
      <c r="U22" s="16"/>
      <c r="V22" s="16"/>
      <c r="W22" s="16"/>
      <c r="X22" s="16"/>
      <c r="Y22" s="16"/>
      <c r="Z22" s="16"/>
      <c r="AA22" s="16"/>
      <c r="AB22" s="16"/>
      <c r="AD22" s="210"/>
      <c r="AE22" s="211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10"/>
      <c r="AE23" s="211"/>
      <c r="AF23" s="16"/>
    </row>
    <row r="24" spans="1:28" s="17" customFormat="1" ht="15.75">
      <c r="A24" s="16" t="s">
        <v>104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188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187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149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151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s="17" customFormat="1" ht="15.75">
      <c r="A33" s="16" t="s">
        <v>94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 t="s">
        <v>152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</row>
    <row r="34" spans="2:37" s="17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 t="s">
        <v>153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/>
      <c r="AG34"/>
      <c r="AH34"/>
      <c r="AI34"/>
      <c r="AJ34"/>
      <c r="AK34"/>
    </row>
    <row r="35" spans="1:37" s="17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7" customFormat="1" ht="15.75">
      <c r="A36" s="16" t="s">
        <v>90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5.75">
      <c r="A37" s="16" t="s">
        <v>100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101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5.75">
      <c r="A42" s="16" t="s">
        <v>102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9" t="s">
        <v>93</v>
      </c>
      <c r="B43" s="19"/>
      <c r="C43" s="19"/>
      <c r="D43" s="19"/>
      <c r="E43" s="19"/>
      <c r="F43" s="19"/>
      <c r="G43" s="22"/>
      <c r="H43" s="22"/>
      <c r="I43" s="16" t="s">
        <v>148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21" t="s">
        <v>103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ht="9.75" customHeight="1"/>
    <row r="46" ht="15.75">
      <c r="A46" s="16" t="s">
        <v>154</v>
      </c>
    </row>
    <row r="47" ht="15.75">
      <c r="A47" s="16" t="s">
        <v>155</v>
      </c>
    </row>
    <row r="48" ht="15.75">
      <c r="A48" s="16" t="s">
        <v>233</v>
      </c>
    </row>
    <row r="49" ht="15.75">
      <c r="A49" s="16" t="s">
        <v>111</v>
      </c>
    </row>
    <row r="50" ht="9.75" customHeight="1">
      <c r="A50" s="16"/>
    </row>
    <row r="51" ht="9.75" customHeight="1"/>
    <row r="52" spans="21:35" ht="12.75">
      <c r="U52" s="17"/>
      <c r="V52" s="17"/>
      <c r="W52" s="17"/>
      <c r="X52" s="17"/>
      <c r="Y52" s="17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</row>
    <row r="53" spans="21:35" ht="12.75">
      <c r="U53" s="17"/>
      <c r="V53" s="17"/>
      <c r="W53" s="17"/>
      <c r="X53" s="17"/>
      <c r="Y53" s="17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</row>
    <row r="54" ht="12.75">
      <c r="Z54" s="152"/>
    </row>
  </sheetData>
  <sheetProtection sheet="1" objects="1" scenarios="1" selectLockedCells="1"/>
  <mergeCells count="7">
    <mergeCell ref="F1:AD1"/>
    <mergeCell ref="Z52:AI52"/>
    <mergeCell ref="Z53:AI53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5">
      <selection activeCell="G15" sqref="G15:O21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Mannschaften!C10</f>
        <v>ETV  Hamburg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07" t="s">
        <v>20</v>
      </c>
      <c r="E14" s="908"/>
      <c r="F14" s="909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s="203" customFormat="1" ht="24.75" customHeight="1">
      <c r="A15" s="193">
        <v>1</v>
      </c>
      <c r="B15" s="179"/>
      <c r="C15" s="180" t="s">
        <v>325</v>
      </c>
      <c r="D15" s="895" t="s">
        <v>397</v>
      </c>
      <c r="E15" s="896"/>
      <c r="F15" s="897"/>
      <c r="G15" s="898"/>
      <c r="H15" s="899"/>
      <c r="I15" s="900"/>
      <c r="J15" s="901"/>
      <c r="K15" s="902"/>
      <c r="L15" s="903"/>
      <c r="M15" s="904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895" t="s">
        <v>398</v>
      </c>
      <c r="E16" s="896"/>
      <c r="F16" s="897"/>
      <c r="G16" s="898"/>
      <c r="H16" s="899"/>
      <c r="I16" s="900"/>
      <c r="J16" s="901"/>
      <c r="K16" s="902"/>
      <c r="L16" s="903"/>
      <c r="M16" s="904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895" t="s">
        <v>399</v>
      </c>
      <c r="E17" s="896"/>
      <c r="F17" s="897"/>
      <c r="G17" s="898"/>
      <c r="H17" s="899"/>
      <c r="I17" s="900"/>
      <c r="J17" s="901"/>
      <c r="K17" s="902"/>
      <c r="L17" s="903"/>
      <c r="M17" s="904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895" t="s">
        <v>400</v>
      </c>
      <c r="E18" s="896"/>
      <c r="F18" s="897"/>
      <c r="G18" s="898"/>
      <c r="H18" s="899"/>
      <c r="I18" s="900"/>
      <c r="J18" s="901"/>
      <c r="K18" s="902"/>
      <c r="L18" s="903"/>
      <c r="M18" s="904"/>
      <c r="N18" s="905"/>
      <c r="O18" s="906"/>
    </row>
    <row r="19" spans="1:15" s="203" customFormat="1" ht="24.75" customHeight="1">
      <c r="A19" s="194">
        <v>5</v>
      </c>
      <c r="B19" s="180"/>
      <c r="C19" s="180"/>
      <c r="D19" s="895" t="s">
        <v>401</v>
      </c>
      <c r="E19" s="896"/>
      <c r="F19" s="897"/>
      <c r="G19" s="898"/>
      <c r="H19" s="899"/>
      <c r="I19" s="900"/>
      <c r="J19" s="901"/>
      <c r="K19" s="902"/>
      <c r="L19" s="903"/>
      <c r="M19" s="904"/>
      <c r="N19" s="905"/>
      <c r="O19" s="906"/>
    </row>
    <row r="20" spans="1:15" s="203" customFormat="1" ht="24.75" customHeight="1">
      <c r="A20" s="194">
        <v>6</v>
      </c>
      <c r="B20" s="180"/>
      <c r="C20" s="180"/>
      <c r="D20" s="895" t="s">
        <v>402</v>
      </c>
      <c r="E20" s="896"/>
      <c r="F20" s="897"/>
      <c r="G20" s="898"/>
      <c r="H20" s="899"/>
      <c r="I20" s="900"/>
      <c r="J20" s="901"/>
      <c r="K20" s="902"/>
      <c r="L20" s="903"/>
      <c r="M20" s="904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 t="s">
        <v>403</v>
      </c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895"/>
      <c r="E22" s="896"/>
      <c r="F22" s="897"/>
      <c r="G22" s="898"/>
      <c r="H22" s="899"/>
      <c r="I22" s="900"/>
      <c r="J22" s="901"/>
      <c r="K22" s="902"/>
      <c r="L22" s="903"/>
      <c r="M22" s="90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898"/>
      <c r="H23" s="899"/>
      <c r="I23" s="900"/>
      <c r="J23" s="901"/>
      <c r="K23" s="902"/>
      <c r="L23" s="903"/>
      <c r="M23" s="90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911"/>
      <c r="E24" s="912"/>
      <c r="F24" s="913"/>
      <c r="G24" s="914"/>
      <c r="H24" s="915"/>
      <c r="I24" s="916"/>
      <c r="J24" s="917"/>
      <c r="K24" s="918"/>
      <c r="L24" s="919"/>
      <c r="M24" s="920"/>
      <c r="N24" s="921"/>
      <c r="O24" s="922"/>
    </row>
    <row r="25" spans="1:15" s="203" customFormat="1" ht="24.75" customHeight="1">
      <c r="A25" s="517" t="s">
        <v>39</v>
      </c>
      <c r="B25" s="516"/>
      <c r="C25" s="516"/>
      <c r="D25" s="895"/>
      <c r="E25" s="896"/>
      <c r="F25" s="897"/>
      <c r="G25" s="930"/>
      <c r="H25" s="931"/>
      <c r="I25" s="932"/>
      <c r="J25" s="933"/>
      <c r="K25" s="934"/>
      <c r="L25" s="935"/>
      <c r="M25" s="936"/>
      <c r="N25" s="923"/>
      <c r="O25" s="924"/>
    </row>
    <row r="26" spans="1:15" s="203" customFormat="1" ht="24.75" customHeight="1" thickBot="1">
      <c r="A26" s="197" t="s">
        <v>40</v>
      </c>
      <c r="B26" s="181"/>
      <c r="C26" s="181"/>
      <c r="D26" s="895"/>
      <c r="E26" s="896"/>
      <c r="F26" s="897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48.6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6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3">
      <selection activeCell="G69" sqref="G69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198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198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198" customFormat="1" ht="13.5" customHeight="1"/>
    <row r="4" spans="4:26" s="198" customFormat="1" ht="23.25" customHeight="1">
      <c r="D4" s="199"/>
      <c r="E4" s="889" t="str">
        <f>IF(Mannschaften!F4="","",Mannschaften!F4)</f>
        <v>Waghäusel</v>
      </c>
      <c r="F4" s="889"/>
      <c r="G4" s="889"/>
      <c r="H4" s="889"/>
      <c r="I4" s="207">
        <f>Mannschaften!K4</f>
        <v>40425</v>
      </c>
      <c r="J4" s="200" t="s">
        <v>112</v>
      </c>
      <c r="K4" s="207">
        <f>Mannschaften!M4</f>
        <v>40426</v>
      </c>
      <c r="M4" s="199"/>
      <c r="W4" s="199"/>
      <c r="X4" s="199"/>
      <c r="Y4" s="199"/>
      <c r="Z4" s="199"/>
    </row>
    <row r="5" spans="4:26" s="198" customFormat="1" ht="16.5" customHeight="1">
      <c r="D5" s="199"/>
      <c r="E5" s="189"/>
      <c r="F5" s="189"/>
      <c r="G5" s="189"/>
      <c r="H5" s="189"/>
      <c r="I5" s="201"/>
      <c r="J5" s="200"/>
      <c r="K5" s="201"/>
      <c r="M5" s="199"/>
      <c r="W5" s="199"/>
      <c r="X5" s="199"/>
      <c r="Y5" s="199"/>
      <c r="Z5" s="199"/>
    </row>
    <row r="6" spans="6:9" s="198" customFormat="1" ht="23.25" customHeight="1">
      <c r="F6" s="189"/>
      <c r="G6" s="189" t="str">
        <f>Mannschaften!A5</f>
        <v>Ausrichter:     </v>
      </c>
      <c r="H6" s="189"/>
      <c r="I6" s="189" t="str">
        <f>IF(Mannschaften!I5="","",Mannschaften!I5)</f>
        <v>TSV Wiesental</v>
      </c>
    </row>
    <row r="7" spans="6:9" s="198" customFormat="1" ht="12.75" customHeight="1">
      <c r="F7" s="189"/>
      <c r="G7" s="189"/>
      <c r="H7" s="189"/>
      <c r="I7" s="189"/>
    </row>
    <row r="8" spans="1:15" s="198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198" customFormat="1" ht="6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s="198" customFormat="1" ht="26.25">
      <c r="A10" s="189" t="s">
        <v>13</v>
      </c>
      <c r="B10" s="189"/>
      <c r="C10" s="189"/>
      <c r="D10" s="888" t="str">
        <f>Mannschaften!F10</f>
        <v>TV GH Brettorf</v>
      </c>
      <c r="E10" s="888"/>
      <c r="F10" s="888"/>
      <c r="G10" s="888"/>
      <c r="H10" s="888"/>
      <c r="I10" s="189"/>
      <c r="J10" s="937"/>
      <c r="K10" s="937"/>
      <c r="L10" s="937"/>
      <c r="M10" s="937"/>
      <c r="N10" s="937"/>
      <c r="O10" s="937"/>
    </row>
    <row r="11" s="198" customFormat="1" ht="6" customHeight="1"/>
    <row r="12" spans="6:14" s="198" customFormat="1" ht="18">
      <c r="F12" s="189" t="s">
        <v>157</v>
      </c>
      <c r="G12" s="184" t="str">
        <f>Mannschaften!H3</f>
        <v>M 45</v>
      </c>
      <c r="H12" s="189"/>
      <c r="I12" s="189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9"/>
    </row>
    <row r="13" s="198" customFormat="1" ht="13.5" thickBot="1"/>
    <row r="14" spans="1:15" s="198" customFormat="1" ht="24.75" customHeight="1" thickBot="1">
      <c r="A14" s="520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907" t="s">
        <v>133</v>
      </c>
      <c r="M14" s="909"/>
      <c r="N14" s="910" t="s">
        <v>134</v>
      </c>
      <c r="O14" s="910"/>
    </row>
    <row r="15" spans="1:15" s="203" customFormat="1" ht="24.75" customHeight="1">
      <c r="A15" s="193">
        <v>1</v>
      </c>
      <c r="B15" s="179"/>
      <c r="C15" s="179"/>
      <c r="D15" s="938" t="s">
        <v>406</v>
      </c>
      <c r="E15" s="939"/>
      <c r="F15" s="940"/>
      <c r="G15" s="941"/>
      <c r="H15" s="942"/>
      <c r="I15" s="943"/>
      <c r="J15" s="944"/>
      <c r="K15" s="945"/>
      <c r="L15" s="946"/>
      <c r="M15" s="947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895" t="s">
        <v>407</v>
      </c>
      <c r="E16" s="896"/>
      <c r="F16" s="897"/>
      <c r="G16" s="948"/>
      <c r="H16" s="949"/>
      <c r="I16" s="950"/>
      <c r="J16" s="951"/>
      <c r="K16" s="952"/>
      <c r="L16" s="953"/>
      <c r="M16" s="954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895" t="s">
        <v>408</v>
      </c>
      <c r="E17" s="896"/>
      <c r="F17" s="897"/>
      <c r="G17" s="948"/>
      <c r="H17" s="949"/>
      <c r="I17" s="950"/>
      <c r="J17" s="951"/>
      <c r="K17" s="952"/>
      <c r="L17" s="953"/>
      <c r="M17" s="954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895" t="s">
        <v>409</v>
      </c>
      <c r="E18" s="896"/>
      <c r="F18" s="897"/>
      <c r="G18" s="948"/>
      <c r="H18" s="949"/>
      <c r="I18" s="950"/>
      <c r="J18" s="951"/>
      <c r="K18" s="952"/>
      <c r="L18" s="953"/>
      <c r="M18" s="954"/>
      <c r="N18" s="905"/>
      <c r="O18" s="906"/>
    </row>
    <row r="19" spans="1:15" s="203" customFormat="1" ht="24.75" customHeight="1">
      <c r="A19" s="194">
        <v>5</v>
      </c>
      <c r="B19" s="180"/>
      <c r="C19" s="180" t="s">
        <v>325</v>
      </c>
      <c r="D19" s="895" t="s">
        <v>410</v>
      </c>
      <c r="E19" s="896"/>
      <c r="F19" s="897"/>
      <c r="G19" s="948"/>
      <c r="H19" s="949"/>
      <c r="I19" s="950"/>
      <c r="J19" s="951"/>
      <c r="K19" s="952"/>
      <c r="L19" s="953"/>
      <c r="M19" s="954"/>
      <c r="N19" s="905"/>
      <c r="O19" s="906"/>
    </row>
    <row r="20" spans="1:15" s="203" customFormat="1" ht="24.75" customHeight="1">
      <c r="A20" s="194">
        <v>6</v>
      </c>
      <c r="B20" s="459"/>
      <c r="C20" s="180"/>
      <c r="D20" s="895" t="s">
        <v>411</v>
      </c>
      <c r="E20" s="896"/>
      <c r="F20" s="897"/>
      <c r="G20" s="948"/>
      <c r="H20" s="949"/>
      <c r="I20" s="950"/>
      <c r="J20" s="951"/>
      <c r="K20" s="952"/>
      <c r="L20" s="953"/>
      <c r="M20" s="954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 t="s">
        <v>412</v>
      </c>
      <c r="E21" s="896"/>
      <c r="F21" s="897"/>
      <c r="G21" s="948"/>
      <c r="H21" s="949"/>
      <c r="I21" s="950"/>
      <c r="J21" s="951"/>
      <c r="K21" s="952"/>
      <c r="L21" s="953"/>
      <c r="M21" s="954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895"/>
      <c r="E22" s="896"/>
      <c r="F22" s="897"/>
      <c r="G22" s="948"/>
      <c r="H22" s="949"/>
      <c r="I22" s="950"/>
      <c r="J22" s="951"/>
      <c r="K22" s="952"/>
      <c r="L22" s="953"/>
      <c r="M22" s="95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898"/>
      <c r="H23" s="899"/>
      <c r="I23" s="957"/>
      <c r="J23" s="958"/>
      <c r="K23" s="906"/>
      <c r="L23" s="953"/>
      <c r="M23" s="95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911"/>
      <c r="E24" s="912"/>
      <c r="F24" s="913"/>
      <c r="G24" s="914"/>
      <c r="H24" s="955"/>
      <c r="I24" s="916"/>
      <c r="J24" s="917"/>
      <c r="K24" s="918"/>
      <c r="L24" s="956"/>
      <c r="M24" s="920"/>
      <c r="N24" s="921"/>
      <c r="O24" s="922"/>
    </row>
    <row r="25" spans="1:15" s="203" customFormat="1" ht="24.75" customHeight="1">
      <c r="A25" s="517" t="s">
        <v>39</v>
      </c>
      <c r="B25" s="516"/>
      <c r="C25" s="516"/>
      <c r="D25" s="959"/>
      <c r="E25" s="960"/>
      <c r="F25" s="961"/>
      <c r="G25" s="930"/>
      <c r="H25" s="931"/>
      <c r="I25" s="932"/>
      <c r="J25" s="933"/>
      <c r="K25" s="934"/>
      <c r="L25" s="935"/>
      <c r="M25" s="936"/>
      <c r="N25" s="923"/>
      <c r="O25" s="924"/>
    </row>
    <row r="26" spans="1:15" s="203" customFormat="1" ht="24.75" customHeight="1" thickBot="1">
      <c r="A26" s="197" t="s">
        <v>40</v>
      </c>
      <c r="B26" s="181"/>
      <c r="C26" s="181"/>
      <c r="D26" s="895"/>
      <c r="E26" s="896"/>
      <c r="F26" s="897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48.7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1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6:O16"/>
    <mergeCell ref="D15:F15"/>
    <mergeCell ref="G15:H15"/>
    <mergeCell ref="I15:K15"/>
    <mergeCell ref="L15:M15"/>
    <mergeCell ref="N15:O15"/>
    <mergeCell ref="D16:F16"/>
    <mergeCell ref="G16:H16"/>
    <mergeCell ref="I16:K16"/>
    <mergeCell ref="L16:M16"/>
    <mergeCell ref="D14:F14"/>
    <mergeCell ref="G14:H14"/>
    <mergeCell ref="I14:K14"/>
    <mergeCell ref="N14:O14"/>
    <mergeCell ref="L14:M14"/>
    <mergeCell ref="D10:H10"/>
    <mergeCell ref="J10:O10"/>
    <mergeCell ref="E1:M1"/>
    <mergeCell ref="E2:M2"/>
    <mergeCell ref="E4:H4"/>
    <mergeCell ref="A8:O8"/>
  </mergeCells>
  <conditionalFormatting sqref="D15:F24 D26:F26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1">
      <selection activeCell="G15" sqref="G15:O20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Mannschaften!I10</f>
        <v>TV Dinglingen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s="203" customFormat="1" ht="24.75" customHeight="1">
      <c r="A15" s="193">
        <v>1</v>
      </c>
      <c r="B15" s="179">
        <v>5</v>
      </c>
      <c r="C15" s="179" t="s">
        <v>325</v>
      </c>
      <c r="D15" s="938" t="s">
        <v>371</v>
      </c>
      <c r="E15" s="939"/>
      <c r="F15" s="940"/>
      <c r="G15" s="962"/>
      <c r="H15" s="963"/>
      <c r="I15" s="964"/>
      <c r="J15" s="965"/>
      <c r="K15" s="966"/>
      <c r="L15" s="967"/>
      <c r="M15" s="968"/>
      <c r="N15" s="893"/>
      <c r="O15" s="894"/>
    </row>
    <row r="16" spans="1:15" s="203" customFormat="1" ht="24.75" customHeight="1">
      <c r="A16" s="194">
        <v>2</v>
      </c>
      <c r="B16" s="180">
        <v>7</v>
      </c>
      <c r="C16" s="180"/>
      <c r="D16" s="895" t="s">
        <v>372</v>
      </c>
      <c r="E16" s="896"/>
      <c r="F16" s="897"/>
      <c r="G16" s="898"/>
      <c r="H16" s="899"/>
      <c r="I16" s="900"/>
      <c r="J16" s="901"/>
      <c r="K16" s="902"/>
      <c r="L16" s="903"/>
      <c r="M16" s="904"/>
      <c r="N16" s="905"/>
      <c r="O16" s="906"/>
    </row>
    <row r="17" spans="1:15" s="203" customFormat="1" ht="24.75" customHeight="1">
      <c r="A17" s="194">
        <v>3</v>
      </c>
      <c r="B17" s="180">
        <v>3</v>
      </c>
      <c r="C17" s="180"/>
      <c r="D17" s="895" t="s">
        <v>373</v>
      </c>
      <c r="E17" s="896"/>
      <c r="F17" s="897"/>
      <c r="G17" s="898"/>
      <c r="H17" s="899"/>
      <c r="I17" s="900"/>
      <c r="J17" s="901"/>
      <c r="K17" s="902"/>
      <c r="L17" s="903"/>
      <c r="M17" s="904"/>
      <c r="N17" s="905"/>
      <c r="O17" s="906"/>
    </row>
    <row r="18" spans="1:15" s="203" customFormat="1" ht="24.75" customHeight="1">
      <c r="A18" s="194">
        <v>4</v>
      </c>
      <c r="B18" s="180">
        <v>8</v>
      </c>
      <c r="C18" s="180"/>
      <c r="D18" s="895" t="s">
        <v>374</v>
      </c>
      <c r="E18" s="896"/>
      <c r="F18" s="897"/>
      <c r="G18" s="898"/>
      <c r="H18" s="899"/>
      <c r="I18" s="900"/>
      <c r="J18" s="901"/>
      <c r="K18" s="902"/>
      <c r="L18" s="903"/>
      <c r="M18" s="904"/>
      <c r="N18" s="905"/>
      <c r="O18" s="906"/>
    </row>
    <row r="19" spans="1:15" s="203" customFormat="1" ht="24.75" customHeight="1">
      <c r="A19" s="194">
        <v>5</v>
      </c>
      <c r="B19" s="180">
        <v>10</v>
      </c>
      <c r="C19" s="180"/>
      <c r="D19" s="895" t="s">
        <v>375</v>
      </c>
      <c r="E19" s="896"/>
      <c r="F19" s="897"/>
      <c r="G19" s="898"/>
      <c r="H19" s="899"/>
      <c r="I19" s="900"/>
      <c r="J19" s="901"/>
      <c r="K19" s="902"/>
      <c r="L19" s="903"/>
      <c r="M19" s="904"/>
      <c r="N19" s="905"/>
      <c r="O19" s="906"/>
    </row>
    <row r="20" spans="1:15" s="203" customFormat="1" ht="24.75" customHeight="1">
      <c r="A20" s="194">
        <v>6</v>
      </c>
      <c r="B20" s="180">
        <v>12</v>
      </c>
      <c r="C20" s="180"/>
      <c r="D20" s="895" t="s">
        <v>376</v>
      </c>
      <c r="E20" s="896"/>
      <c r="F20" s="897"/>
      <c r="G20" s="898"/>
      <c r="H20" s="899"/>
      <c r="I20" s="900"/>
      <c r="J20" s="901"/>
      <c r="K20" s="902"/>
      <c r="L20" s="903"/>
      <c r="M20" s="904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/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895"/>
      <c r="E22" s="896"/>
      <c r="F22" s="897"/>
      <c r="G22" s="948"/>
      <c r="H22" s="949"/>
      <c r="I22" s="950"/>
      <c r="J22" s="951"/>
      <c r="K22" s="952"/>
      <c r="L22" s="953"/>
      <c r="M22" s="95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898"/>
      <c r="H23" s="899"/>
      <c r="I23" s="957"/>
      <c r="J23" s="958"/>
      <c r="K23" s="906"/>
      <c r="L23" s="953"/>
      <c r="M23" s="95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911"/>
      <c r="E24" s="912"/>
      <c r="F24" s="913"/>
      <c r="G24" s="914"/>
      <c r="H24" s="955"/>
      <c r="I24" s="916"/>
      <c r="J24" s="917"/>
      <c r="K24" s="918"/>
      <c r="L24" s="956"/>
      <c r="M24" s="920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938"/>
      <c r="E25" s="939"/>
      <c r="F25" s="940"/>
      <c r="G25" s="962"/>
      <c r="H25" s="963"/>
      <c r="I25" s="969"/>
      <c r="J25" s="970"/>
      <c r="K25" s="971"/>
      <c r="L25" s="972"/>
      <c r="M25" s="973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911" t="s">
        <v>377</v>
      </c>
      <c r="E26" s="912"/>
      <c r="F26" s="913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567" t="s">
        <v>213</v>
      </c>
      <c r="B27" s="512"/>
      <c r="C27" s="512"/>
      <c r="D27" s="512"/>
      <c r="E27" s="512"/>
      <c r="F27" s="513"/>
      <c r="G27" s="564">
        <v>48.9</v>
      </c>
      <c r="H27" s="565" t="s">
        <v>214</v>
      </c>
      <c r="I27" s="512"/>
      <c r="J27" s="512"/>
      <c r="K27" s="512"/>
      <c r="L27" s="512"/>
      <c r="M27" s="512"/>
      <c r="N27" s="512"/>
      <c r="O27" s="513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1">
      <selection activeCell="G15" sqref="G15:O24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Mannschaften!L10</f>
        <v>TV Segnitz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s="203" customFormat="1" ht="24.75" customHeight="1">
      <c r="A15" s="193">
        <v>1</v>
      </c>
      <c r="B15" s="179"/>
      <c r="C15" s="179"/>
      <c r="D15" s="938" t="s">
        <v>361</v>
      </c>
      <c r="E15" s="939"/>
      <c r="F15" s="940"/>
      <c r="G15" s="962"/>
      <c r="H15" s="963"/>
      <c r="I15" s="964"/>
      <c r="J15" s="965"/>
      <c r="K15" s="966"/>
      <c r="L15" s="967"/>
      <c r="M15" s="968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895" t="s">
        <v>362</v>
      </c>
      <c r="E16" s="896"/>
      <c r="F16" s="897"/>
      <c r="G16" s="898"/>
      <c r="H16" s="899"/>
      <c r="I16" s="900"/>
      <c r="J16" s="901"/>
      <c r="K16" s="902"/>
      <c r="L16" s="903"/>
      <c r="M16" s="904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895" t="s">
        <v>363</v>
      </c>
      <c r="E17" s="896"/>
      <c r="F17" s="897"/>
      <c r="G17" s="898"/>
      <c r="H17" s="899"/>
      <c r="I17" s="900"/>
      <c r="J17" s="901"/>
      <c r="K17" s="902"/>
      <c r="L17" s="903"/>
      <c r="M17" s="904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895" t="s">
        <v>364</v>
      </c>
      <c r="E18" s="896"/>
      <c r="F18" s="897"/>
      <c r="G18" s="898"/>
      <c r="H18" s="899"/>
      <c r="I18" s="900"/>
      <c r="J18" s="901"/>
      <c r="K18" s="902"/>
      <c r="L18" s="903"/>
      <c r="M18" s="904"/>
      <c r="N18" s="905"/>
      <c r="O18" s="906"/>
    </row>
    <row r="19" spans="1:15" s="203" customFormat="1" ht="24.75" customHeight="1">
      <c r="A19" s="194">
        <v>5</v>
      </c>
      <c r="B19" s="180"/>
      <c r="C19" s="180"/>
      <c r="D19" s="895" t="s">
        <v>365</v>
      </c>
      <c r="E19" s="896"/>
      <c r="F19" s="897"/>
      <c r="G19" s="898"/>
      <c r="H19" s="899"/>
      <c r="I19" s="900"/>
      <c r="J19" s="901"/>
      <c r="K19" s="902"/>
      <c r="L19" s="903"/>
      <c r="M19" s="904"/>
      <c r="N19" s="905"/>
      <c r="O19" s="906"/>
    </row>
    <row r="20" spans="1:15" s="203" customFormat="1" ht="24.75" customHeight="1">
      <c r="A20" s="194">
        <v>6</v>
      </c>
      <c r="B20" s="180"/>
      <c r="C20" s="180"/>
      <c r="D20" s="895" t="s">
        <v>366</v>
      </c>
      <c r="E20" s="896"/>
      <c r="F20" s="897"/>
      <c r="G20" s="898"/>
      <c r="H20" s="899"/>
      <c r="I20" s="900"/>
      <c r="J20" s="901"/>
      <c r="K20" s="902"/>
      <c r="L20" s="903"/>
      <c r="M20" s="904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 t="s">
        <v>367</v>
      </c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s="203" customFormat="1" ht="24.75" customHeight="1">
      <c r="A22" s="194">
        <v>8</v>
      </c>
      <c r="B22" s="180"/>
      <c r="C22" s="180" t="s">
        <v>325</v>
      </c>
      <c r="D22" s="895" t="s">
        <v>368</v>
      </c>
      <c r="E22" s="896"/>
      <c r="F22" s="897"/>
      <c r="G22" s="898"/>
      <c r="H22" s="899"/>
      <c r="I22" s="900"/>
      <c r="J22" s="901"/>
      <c r="K22" s="902"/>
      <c r="L22" s="903"/>
      <c r="M22" s="90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 t="s">
        <v>369</v>
      </c>
      <c r="E23" s="896"/>
      <c r="F23" s="897"/>
      <c r="G23" s="898"/>
      <c r="H23" s="899"/>
      <c r="I23" s="900"/>
      <c r="J23" s="901"/>
      <c r="K23" s="902"/>
      <c r="L23" s="903"/>
      <c r="M23" s="90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911" t="s">
        <v>370</v>
      </c>
      <c r="E24" s="912"/>
      <c r="F24" s="913"/>
      <c r="G24" s="914"/>
      <c r="H24" s="915"/>
      <c r="I24" s="916"/>
      <c r="J24" s="917"/>
      <c r="K24" s="918"/>
      <c r="L24" s="919"/>
      <c r="M24" s="920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938"/>
      <c r="E25" s="939"/>
      <c r="F25" s="940"/>
      <c r="G25" s="962"/>
      <c r="H25" s="963"/>
      <c r="I25" s="969"/>
      <c r="J25" s="970"/>
      <c r="K25" s="971"/>
      <c r="L25" s="972"/>
      <c r="M25" s="973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911"/>
      <c r="E26" s="912"/>
      <c r="F26" s="913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48.7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9">
      <selection activeCell="G15" sqref="G15:O20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Mannschaften!O10</f>
        <v>MSV Buna Schkopau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190"/>
      <c r="B14" s="191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88" t="s">
        <v>134</v>
      </c>
      <c r="O14" s="988"/>
    </row>
    <row r="15" spans="1:15" s="203" customFormat="1" ht="24.75" customHeight="1">
      <c r="A15" s="193">
        <v>1</v>
      </c>
      <c r="B15" s="179"/>
      <c r="C15" s="516"/>
      <c r="D15" s="959" t="s">
        <v>321</v>
      </c>
      <c r="E15" s="960"/>
      <c r="F15" s="961"/>
      <c r="G15" s="981"/>
      <c r="H15" s="982"/>
      <c r="I15" s="983"/>
      <c r="J15" s="984"/>
      <c r="K15" s="985"/>
      <c r="L15" s="986"/>
      <c r="M15" s="987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895" t="s">
        <v>415</v>
      </c>
      <c r="E16" s="896"/>
      <c r="F16" s="897"/>
      <c r="G16" s="974"/>
      <c r="H16" s="975"/>
      <c r="I16" s="976"/>
      <c r="J16" s="977"/>
      <c r="K16" s="978"/>
      <c r="L16" s="979"/>
      <c r="M16" s="980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895" t="s">
        <v>322</v>
      </c>
      <c r="E17" s="896"/>
      <c r="F17" s="897"/>
      <c r="G17" s="974"/>
      <c r="H17" s="975"/>
      <c r="I17" s="976"/>
      <c r="J17" s="977"/>
      <c r="K17" s="978"/>
      <c r="L17" s="979"/>
      <c r="M17" s="980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895" t="s">
        <v>416</v>
      </c>
      <c r="E18" s="896"/>
      <c r="F18" s="897"/>
      <c r="G18" s="974"/>
      <c r="H18" s="975"/>
      <c r="I18" s="976"/>
      <c r="J18" s="977"/>
      <c r="K18" s="978"/>
      <c r="L18" s="979"/>
      <c r="M18" s="980"/>
      <c r="N18" s="905"/>
      <c r="O18" s="906"/>
    </row>
    <row r="19" spans="1:15" s="203" customFormat="1" ht="24.75" customHeight="1">
      <c r="A19" s="194">
        <v>5</v>
      </c>
      <c r="B19" s="180"/>
      <c r="C19" s="180" t="s">
        <v>417</v>
      </c>
      <c r="D19" s="895" t="s">
        <v>324</v>
      </c>
      <c r="E19" s="896"/>
      <c r="F19" s="897"/>
      <c r="G19" s="974"/>
      <c r="H19" s="975"/>
      <c r="I19" s="976"/>
      <c r="J19" s="977"/>
      <c r="K19" s="978"/>
      <c r="L19" s="979"/>
      <c r="M19" s="980"/>
      <c r="N19" s="905"/>
      <c r="O19" s="906"/>
    </row>
    <row r="20" spans="1:15" s="203" customFormat="1" ht="24.75" customHeight="1">
      <c r="A20" s="194">
        <v>6</v>
      </c>
      <c r="B20" s="180"/>
      <c r="C20" s="180"/>
      <c r="D20" s="895" t="s">
        <v>323</v>
      </c>
      <c r="E20" s="896"/>
      <c r="F20" s="897"/>
      <c r="G20" s="974"/>
      <c r="H20" s="975"/>
      <c r="I20" s="976"/>
      <c r="J20" s="977"/>
      <c r="K20" s="978"/>
      <c r="L20" s="979"/>
      <c r="M20" s="980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/>
      <c r="E21" s="896"/>
      <c r="F21" s="897"/>
      <c r="G21" s="974"/>
      <c r="H21" s="975"/>
      <c r="I21" s="976"/>
      <c r="J21" s="977"/>
      <c r="K21" s="978"/>
      <c r="L21" s="979"/>
      <c r="M21" s="980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895"/>
      <c r="E22" s="896"/>
      <c r="F22" s="897"/>
      <c r="G22" s="974"/>
      <c r="H22" s="975"/>
      <c r="I22" s="976"/>
      <c r="J22" s="977"/>
      <c r="K22" s="978"/>
      <c r="L22" s="979"/>
      <c r="M22" s="980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974"/>
      <c r="H23" s="975"/>
      <c r="I23" s="976"/>
      <c r="J23" s="977"/>
      <c r="K23" s="978"/>
      <c r="L23" s="979"/>
      <c r="M23" s="980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895"/>
      <c r="E24" s="896"/>
      <c r="F24" s="897"/>
      <c r="G24" s="989"/>
      <c r="H24" s="990"/>
      <c r="I24" s="991"/>
      <c r="J24" s="992"/>
      <c r="K24" s="993"/>
      <c r="L24" s="994"/>
      <c r="M24" s="995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1004"/>
      <c r="E25" s="1005"/>
      <c r="F25" s="1006"/>
      <c r="G25" s="1007"/>
      <c r="H25" s="1008"/>
      <c r="I25" s="1009"/>
      <c r="J25" s="1010"/>
      <c r="K25" s="1011"/>
      <c r="L25" s="1012"/>
      <c r="M25" s="1013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996"/>
      <c r="E26" s="997"/>
      <c r="F26" s="998"/>
      <c r="G26" s="989"/>
      <c r="H26" s="990"/>
      <c r="I26" s="999"/>
      <c r="J26" s="1000"/>
      <c r="K26" s="1001"/>
      <c r="L26" s="1002"/>
      <c r="M26" s="1003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48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3">
      <selection activeCell="G15" sqref="G15:O22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Mannschaften!C145</f>
        <v>TV Klarenthal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s="203" customFormat="1" ht="24.75" customHeight="1">
      <c r="A15" s="193">
        <v>1</v>
      </c>
      <c r="B15" s="179"/>
      <c r="C15" s="179"/>
      <c r="D15" s="938" t="s">
        <v>378</v>
      </c>
      <c r="E15" s="939"/>
      <c r="F15" s="940"/>
      <c r="G15" s="962"/>
      <c r="H15" s="963"/>
      <c r="I15" s="964"/>
      <c r="J15" s="965"/>
      <c r="K15" s="966"/>
      <c r="L15" s="967"/>
      <c r="M15" s="968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895" t="s">
        <v>379</v>
      </c>
      <c r="E16" s="896"/>
      <c r="F16" s="897"/>
      <c r="G16" s="898"/>
      <c r="H16" s="899"/>
      <c r="I16" s="900"/>
      <c r="J16" s="901"/>
      <c r="K16" s="902"/>
      <c r="L16" s="903"/>
      <c r="M16" s="904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895" t="s">
        <v>380</v>
      </c>
      <c r="E17" s="896"/>
      <c r="F17" s="897"/>
      <c r="G17" s="898"/>
      <c r="H17" s="899"/>
      <c r="I17" s="900"/>
      <c r="J17" s="901"/>
      <c r="K17" s="902"/>
      <c r="L17" s="903"/>
      <c r="M17" s="904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895" t="s">
        <v>381</v>
      </c>
      <c r="E18" s="896"/>
      <c r="F18" s="897"/>
      <c r="G18" s="898"/>
      <c r="H18" s="899"/>
      <c r="I18" s="900"/>
      <c r="J18" s="901"/>
      <c r="K18" s="902"/>
      <c r="L18" s="903"/>
      <c r="M18" s="904"/>
      <c r="N18" s="905"/>
      <c r="O18" s="906"/>
    </row>
    <row r="19" spans="1:15" s="203" customFormat="1" ht="24.75" customHeight="1">
      <c r="A19" s="194">
        <v>5</v>
      </c>
      <c r="B19" s="180"/>
      <c r="C19" s="180"/>
      <c r="D19" s="895" t="s">
        <v>382</v>
      </c>
      <c r="E19" s="896"/>
      <c r="F19" s="897"/>
      <c r="G19" s="898"/>
      <c r="H19" s="899"/>
      <c r="I19" s="900"/>
      <c r="J19" s="901"/>
      <c r="K19" s="902"/>
      <c r="L19" s="903"/>
      <c r="M19" s="904"/>
      <c r="N19" s="905"/>
      <c r="O19" s="906"/>
    </row>
    <row r="20" spans="1:15" s="203" customFormat="1" ht="24.75" customHeight="1">
      <c r="A20" s="194">
        <v>6</v>
      </c>
      <c r="B20" s="180"/>
      <c r="C20" s="180" t="s">
        <v>325</v>
      </c>
      <c r="D20" s="895" t="s">
        <v>383</v>
      </c>
      <c r="E20" s="896"/>
      <c r="F20" s="897"/>
      <c r="G20" s="898"/>
      <c r="H20" s="899"/>
      <c r="I20" s="900"/>
      <c r="J20" s="901"/>
      <c r="K20" s="902"/>
      <c r="L20" s="903"/>
      <c r="M20" s="904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895" t="s">
        <v>384</v>
      </c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895" t="s">
        <v>385</v>
      </c>
      <c r="E22" s="896"/>
      <c r="F22" s="897"/>
      <c r="G22" s="898"/>
      <c r="H22" s="899"/>
      <c r="I22" s="900"/>
      <c r="J22" s="901"/>
      <c r="K22" s="902"/>
      <c r="L22" s="903"/>
      <c r="M22" s="90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898"/>
      <c r="H23" s="899"/>
      <c r="I23" s="900"/>
      <c r="J23" s="901"/>
      <c r="K23" s="902"/>
      <c r="L23" s="903"/>
      <c r="M23" s="90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911"/>
      <c r="E24" s="912"/>
      <c r="F24" s="913"/>
      <c r="G24" s="914"/>
      <c r="H24" s="915"/>
      <c r="I24" s="916"/>
      <c r="J24" s="917"/>
      <c r="K24" s="918"/>
      <c r="L24" s="919"/>
      <c r="M24" s="920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938" t="s">
        <v>386</v>
      </c>
      <c r="E25" s="939"/>
      <c r="F25" s="940"/>
      <c r="G25" s="962"/>
      <c r="H25" s="963"/>
      <c r="I25" s="969"/>
      <c r="J25" s="970"/>
      <c r="K25" s="971"/>
      <c r="L25" s="972"/>
      <c r="M25" s="973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911"/>
      <c r="E26" s="912"/>
      <c r="F26" s="913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47.7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9">
      <selection activeCell="G15" sqref="G15:O23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Mannschaften!F145</f>
        <v>TV Wünschmichelbach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190"/>
      <c r="B14" s="191" t="s">
        <v>109</v>
      </c>
      <c r="C14" s="191" t="s">
        <v>18</v>
      </c>
      <c r="D14" s="988" t="s">
        <v>20</v>
      </c>
      <c r="E14" s="988"/>
      <c r="F14" s="988"/>
      <c r="G14" s="988" t="s">
        <v>132</v>
      </c>
      <c r="H14" s="988"/>
      <c r="I14" s="988" t="s">
        <v>156</v>
      </c>
      <c r="J14" s="988"/>
      <c r="K14" s="988"/>
      <c r="L14" s="192" t="s">
        <v>133</v>
      </c>
      <c r="M14" s="192"/>
      <c r="N14" s="988" t="s">
        <v>134</v>
      </c>
      <c r="O14" s="988"/>
    </row>
    <row r="15" spans="1:15" s="203" customFormat="1" ht="24.75" customHeight="1">
      <c r="A15" s="193">
        <v>1</v>
      </c>
      <c r="B15" s="179"/>
      <c r="C15" s="179"/>
      <c r="D15" s="1018" t="s">
        <v>337</v>
      </c>
      <c r="E15" s="1018"/>
      <c r="F15" s="1018"/>
      <c r="G15" s="1019"/>
      <c r="H15" s="1019"/>
      <c r="I15" s="1020"/>
      <c r="J15" s="1020"/>
      <c r="K15" s="1020"/>
      <c r="L15" s="1021"/>
      <c r="M15" s="1021"/>
      <c r="N15" s="893"/>
      <c r="O15" s="894"/>
    </row>
    <row r="16" spans="1:15" s="203" customFormat="1" ht="24.75" customHeight="1">
      <c r="A16" s="194">
        <v>2</v>
      </c>
      <c r="B16" s="180"/>
      <c r="C16" s="180"/>
      <c r="D16" s="1014" t="s">
        <v>338</v>
      </c>
      <c r="E16" s="1014"/>
      <c r="F16" s="1014"/>
      <c r="G16" s="1015"/>
      <c r="H16" s="1015"/>
      <c r="I16" s="1016"/>
      <c r="J16" s="1016"/>
      <c r="K16" s="1016"/>
      <c r="L16" s="1017"/>
      <c r="M16" s="1017"/>
      <c r="N16" s="905"/>
      <c r="O16" s="906"/>
    </row>
    <row r="17" spans="1:15" s="203" customFormat="1" ht="24.75" customHeight="1">
      <c r="A17" s="194">
        <v>3</v>
      </c>
      <c r="B17" s="180"/>
      <c r="C17" s="180"/>
      <c r="D17" s="1014" t="s">
        <v>339</v>
      </c>
      <c r="E17" s="1014"/>
      <c r="F17" s="1014"/>
      <c r="G17" s="1015"/>
      <c r="H17" s="1015"/>
      <c r="I17" s="1016"/>
      <c r="J17" s="1016"/>
      <c r="K17" s="1016"/>
      <c r="L17" s="1017"/>
      <c r="M17" s="1017"/>
      <c r="N17" s="905"/>
      <c r="O17" s="906"/>
    </row>
    <row r="18" spans="1:15" s="203" customFormat="1" ht="24.75" customHeight="1">
      <c r="A18" s="194">
        <v>4</v>
      </c>
      <c r="B18" s="180"/>
      <c r="C18" s="180"/>
      <c r="D18" s="1014" t="s">
        <v>345</v>
      </c>
      <c r="E18" s="1014"/>
      <c r="F18" s="1014"/>
      <c r="G18" s="1015"/>
      <c r="H18" s="1015"/>
      <c r="I18" s="1016"/>
      <c r="J18" s="1016"/>
      <c r="K18" s="1016"/>
      <c r="L18" s="1017"/>
      <c r="M18" s="1017"/>
      <c r="N18" s="905"/>
      <c r="O18" s="906"/>
    </row>
    <row r="19" spans="1:15" s="203" customFormat="1" ht="24.75" customHeight="1">
      <c r="A19" s="194">
        <v>5</v>
      </c>
      <c r="B19" s="180"/>
      <c r="C19" s="180"/>
      <c r="D19" s="1014" t="s">
        <v>340</v>
      </c>
      <c r="E19" s="1014"/>
      <c r="F19" s="1014"/>
      <c r="G19" s="1015"/>
      <c r="H19" s="1015"/>
      <c r="I19" s="1016"/>
      <c r="J19" s="1016"/>
      <c r="K19" s="1016"/>
      <c r="L19" s="1017"/>
      <c r="M19" s="1017"/>
      <c r="N19" s="905"/>
      <c r="O19" s="906"/>
    </row>
    <row r="20" spans="1:15" s="203" customFormat="1" ht="24.75" customHeight="1">
      <c r="A20" s="194">
        <v>6</v>
      </c>
      <c r="B20" s="180"/>
      <c r="C20" s="180"/>
      <c r="D20" s="1014" t="s">
        <v>341</v>
      </c>
      <c r="E20" s="1014"/>
      <c r="F20" s="1014"/>
      <c r="G20" s="1015"/>
      <c r="H20" s="1015"/>
      <c r="I20" s="1016"/>
      <c r="J20" s="1016"/>
      <c r="K20" s="1016"/>
      <c r="L20" s="1017"/>
      <c r="M20" s="1017"/>
      <c r="N20" s="905"/>
      <c r="O20" s="906"/>
    </row>
    <row r="21" spans="1:15" s="203" customFormat="1" ht="24.75" customHeight="1">
      <c r="A21" s="194">
        <v>7</v>
      </c>
      <c r="B21" s="180"/>
      <c r="C21" s="180"/>
      <c r="D21" s="1014" t="s">
        <v>342</v>
      </c>
      <c r="E21" s="1014"/>
      <c r="F21" s="1014"/>
      <c r="G21" s="1015"/>
      <c r="H21" s="1015"/>
      <c r="I21" s="1016"/>
      <c r="J21" s="1016"/>
      <c r="K21" s="1016"/>
      <c r="L21" s="1017"/>
      <c r="M21" s="1017"/>
      <c r="N21" s="905"/>
      <c r="O21" s="906"/>
    </row>
    <row r="22" spans="1:15" s="203" customFormat="1" ht="24.75" customHeight="1">
      <c r="A22" s="194">
        <v>8</v>
      </c>
      <c r="B22" s="180"/>
      <c r="C22" s="180"/>
      <c r="D22" s="1014" t="s">
        <v>343</v>
      </c>
      <c r="E22" s="1014"/>
      <c r="F22" s="1014"/>
      <c r="G22" s="1015"/>
      <c r="H22" s="1015"/>
      <c r="I22" s="1016"/>
      <c r="J22" s="1016"/>
      <c r="K22" s="1016"/>
      <c r="L22" s="1017"/>
      <c r="M22" s="1017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1014" t="s">
        <v>344</v>
      </c>
      <c r="E23" s="1014"/>
      <c r="F23" s="1014"/>
      <c r="G23" s="1015"/>
      <c r="H23" s="1015"/>
      <c r="I23" s="1016"/>
      <c r="J23" s="1016"/>
      <c r="K23" s="1016"/>
      <c r="L23" s="1017"/>
      <c r="M23" s="1017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1022" t="s">
        <v>27</v>
      </c>
      <c r="E24" s="1022"/>
      <c r="F24" s="1022"/>
      <c r="G24" s="1023"/>
      <c r="H24" s="1023"/>
      <c r="I24" s="1024"/>
      <c r="J24" s="1024"/>
      <c r="K24" s="1024"/>
      <c r="L24" s="1025" t="s">
        <v>27</v>
      </c>
      <c r="M24" s="1025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1018" t="s">
        <v>345</v>
      </c>
      <c r="E25" s="1018"/>
      <c r="F25" s="1018"/>
      <c r="G25" s="1019"/>
      <c r="H25" s="1019"/>
      <c r="I25" s="1020"/>
      <c r="J25" s="1020"/>
      <c r="K25" s="1020"/>
      <c r="L25" s="1021"/>
      <c r="M25" s="1021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1022"/>
      <c r="E26" s="1022"/>
      <c r="F26" s="1022"/>
      <c r="G26" s="1023"/>
      <c r="H26" s="1023"/>
      <c r="I26" s="1026"/>
      <c r="J26" s="1026"/>
      <c r="K26" s="1026"/>
      <c r="L26" s="1027"/>
      <c r="M26" s="1027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512"/>
      <c r="E27" s="512"/>
      <c r="F27" s="513"/>
      <c r="G27" s="564">
        <v>47.7</v>
      </c>
      <c r="H27" s="565" t="s">
        <v>214</v>
      </c>
      <c r="I27" s="512"/>
      <c r="J27" s="512"/>
      <c r="K27" s="512"/>
      <c r="L27" s="512"/>
      <c r="M27" s="512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5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1">
      <selection activeCell="G15" sqref="G15:O23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888" t="str">
        <f>Mannschaften!I145</f>
        <v>TSV Bayer Leverkusen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ht="24.75" customHeight="1">
      <c r="A15" s="193">
        <v>1</v>
      </c>
      <c r="B15" s="456"/>
      <c r="C15" s="456"/>
      <c r="D15" s="895" t="s">
        <v>396</v>
      </c>
      <c r="E15" s="896"/>
      <c r="F15" s="897"/>
      <c r="G15" s="1007"/>
      <c r="H15" s="1008"/>
      <c r="I15" s="1028"/>
      <c r="J15" s="1029"/>
      <c r="K15" s="1030"/>
      <c r="L15" s="967"/>
      <c r="M15" s="968"/>
      <c r="N15" s="893"/>
      <c r="O15" s="894"/>
    </row>
    <row r="16" spans="1:15" ht="24.75" customHeight="1">
      <c r="A16" s="194">
        <v>2</v>
      </c>
      <c r="B16" s="591">
        <v>11</v>
      </c>
      <c r="C16" s="591"/>
      <c r="D16" s="895" t="s">
        <v>389</v>
      </c>
      <c r="E16" s="896"/>
      <c r="F16" s="897"/>
      <c r="G16" s="974"/>
      <c r="H16" s="975"/>
      <c r="I16" s="976"/>
      <c r="J16" s="977"/>
      <c r="K16" s="978"/>
      <c r="L16" s="903"/>
      <c r="M16" s="904"/>
      <c r="N16" s="905"/>
      <c r="O16" s="906"/>
    </row>
    <row r="17" spans="1:15" ht="24.75" customHeight="1">
      <c r="A17" s="194">
        <v>3</v>
      </c>
      <c r="B17" s="591">
        <v>7</v>
      </c>
      <c r="C17" s="591"/>
      <c r="D17" s="895" t="s">
        <v>391</v>
      </c>
      <c r="E17" s="896"/>
      <c r="F17" s="897"/>
      <c r="G17" s="974"/>
      <c r="H17" s="975"/>
      <c r="I17" s="976"/>
      <c r="J17" s="977"/>
      <c r="K17" s="978"/>
      <c r="L17" s="903"/>
      <c r="M17" s="904"/>
      <c r="N17" s="905"/>
      <c r="O17" s="906"/>
    </row>
    <row r="18" spans="1:15" ht="24.75" customHeight="1">
      <c r="A18" s="194">
        <v>4</v>
      </c>
      <c r="B18" s="591"/>
      <c r="C18" s="591"/>
      <c r="D18" s="895" t="s">
        <v>394</v>
      </c>
      <c r="E18" s="896"/>
      <c r="F18" s="897"/>
      <c r="G18" s="974"/>
      <c r="H18" s="975"/>
      <c r="I18" s="976"/>
      <c r="J18" s="977"/>
      <c r="K18" s="978"/>
      <c r="L18" s="903"/>
      <c r="M18" s="904"/>
      <c r="N18" s="905"/>
      <c r="O18" s="906"/>
    </row>
    <row r="19" spans="1:15" ht="24.75" customHeight="1">
      <c r="A19" s="194">
        <v>5</v>
      </c>
      <c r="B19" s="591">
        <v>6</v>
      </c>
      <c r="C19" s="591"/>
      <c r="D19" s="895" t="s">
        <v>395</v>
      </c>
      <c r="E19" s="896"/>
      <c r="F19" s="897"/>
      <c r="G19" s="974"/>
      <c r="H19" s="975"/>
      <c r="I19" s="976"/>
      <c r="J19" s="977"/>
      <c r="K19" s="978"/>
      <c r="L19" s="903"/>
      <c r="M19" s="904"/>
      <c r="N19" s="905"/>
      <c r="O19" s="906"/>
    </row>
    <row r="20" spans="1:15" ht="24.75" customHeight="1">
      <c r="A20" s="194">
        <v>6</v>
      </c>
      <c r="B20" s="591">
        <v>10</v>
      </c>
      <c r="C20" s="591" t="s">
        <v>325</v>
      </c>
      <c r="D20" s="895" t="s">
        <v>388</v>
      </c>
      <c r="E20" s="896"/>
      <c r="F20" s="897"/>
      <c r="G20" s="974"/>
      <c r="H20" s="975"/>
      <c r="I20" s="976"/>
      <c r="J20" s="977"/>
      <c r="K20" s="978"/>
      <c r="L20" s="903"/>
      <c r="M20" s="904"/>
      <c r="N20" s="905"/>
      <c r="O20" s="906"/>
    </row>
    <row r="21" spans="1:15" ht="24.75" customHeight="1">
      <c r="A21" s="194">
        <v>7</v>
      </c>
      <c r="B21" s="180">
        <v>15</v>
      </c>
      <c r="C21" s="180"/>
      <c r="D21" s="895" t="s">
        <v>393</v>
      </c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ht="24.75" customHeight="1">
      <c r="A22" s="194">
        <v>8</v>
      </c>
      <c r="B22" s="180">
        <v>19</v>
      </c>
      <c r="C22" s="180"/>
      <c r="D22" s="895" t="s">
        <v>392</v>
      </c>
      <c r="E22" s="896"/>
      <c r="F22" s="897"/>
      <c r="G22" s="898"/>
      <c r="H22" s="899"/>
      <c r="I22" s="900"/>
      <c r="J22" s="901"/>
      <c r="K22" s="902"/>
      <c r="L22" s="903"/>
      <c r="M22" s="904"/>
      <c r="N22" s="905"/>
      <c r="O22" s="906"/>
    </row>
    <row r="23" spans="1:15" ht="24.75" customHeight="1">
      <c r="A23" s="194">
        <v>9</v>
      </c>
      <c r="B23" s="180"/>
      <c r="C23" s="180"/>
      <c r="D23" s="895" t="s">
        <v>390</v>
      </c>
      <c r="E23" s="896"/>
      <c r="F23" s="897"/>
      <c r="G23" s="898"/>
      <c r="H23" s="899"/>
      <c r="I23" s="900"/>
      <c r="J23" s="901"/>
      <c r="K23" s="902"/>
      <c r="L23" s="903"/>
      <c r="M23" s="904"/>
      <c r="N23" s="905"/>
      <c r="O23" s="906"/>
    </row>
    <row r="24" spans="1:15" ht="24.75" customHeight="1" thickBot="1">
      <c r="A24" s="195">
        <v>10</v>
      </c>
      <c r="B24" s="511"/>
      <c r="C24" s="511"/>
      <c r="D24" s="1022"/>
      <c r="E24" s="1022"/>
      <c r="F24" s="1022"/>
      <c r="G24" s="1023"/>
      <c r="H24" s="1023"/>
      <c r="I24" s="1024"/>
      <c r="J24" s="1024"/>
      <c r="K24" s="1024"/>
      <c r="L24" s="1025"/>
      <c r="M24" s="1025"/>
      <c r="N24" s="921"/>
      <c r="O24" s="922"/>
    </row>
    <row r="25" spans="1:15" ht="24.75" customHeight="1">
      <c r="A25" s="196" t="s">
        <v>39</v>
      </c>
      <c r="B25" s="179"/>
      <c r="C25" s="179"/>
      <c r="D25" s="938"/>
      <c r="E25" s="939"/>
      <c r="F25" s="940"/>
      <c r="G25" s="962"/>
      <c r="H25" s="963"/>
      <c r="I25" s="969"/>
      <c r="J25" s="970"/>
      <c r="K25" s="971"/>
      <c r="L25" s="972"/>
      <c r="M25" s="973"/>
      <c r="N25" s="893"/>
      <c r="O25" s="894"/>
    </row>
    <row r="26" spans="1:15" ht="24.75" customHeight="1" thickBot="1">
      <c r="A26" s="197" t="s">
        <v>40</v>
      </c>
      <c r="B26" s="181"/>
      <c r="C26" s="181"/>
      <c r="D26" s="911"/>
      <c r="E26" s="912"/>
      <c r="F26" s="913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ht="24.75" customHeight="1" thickBot="1">
      <c r="A27" s="568" t="s">
        <v>213</v>
      </c>
      <c r="B27" s="569"/>
      <c r="C27" s="569"/>
      <c r="D27" s="569"/>
      <c r="E27" s="569"/>
      <c r="F27" s="570"/>
      <c r="G27" s="571">
        <v>48.8</v>
      </c>
      <c r="H27" s="572" t="s">
        <v>214</v>
      </c>
      <c r="I27" s="569"/>
      <c r="J27" s="569"/>
      <c r="K27" s="569"/>
      <c r="L27" s="569"/>
      <c r="M27" s="569"/>
      <c r="N27" s="569"/>
      <c r="O27" s="570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1">
      <selection activeCell="G15" sqref="G15:O22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 customHeight="1">
      <c r="A10" s="186" t="s">
        <v>13</v>
      </c>
      <c r="B10" s="186"/>
      <c r="C10" s="186"/>
      <c r="D10" s="888" t="str">
        <f>Mannschaften!L145</f>
        <v>VfB Stuttgart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518"/>
      <c r="B14" s="515" t="s">
        <v>109</v>
      </c>
      <c r="C14" s="515" t="s">
        <v>18</v>
      </c>
      <c r="D14" s="910" t="s">
        <v>20</v>
      </c>
      <c r="E14" s="910"/>
      <c r="F14" s="910"/>
      <c r="G14" s="910" t="s">
        <v>132</v>
      </c>
      <c r="H14" s="910"/>
      <c r="I14" s="910" t="s">
        <v>156</v>
      </c>
      <c r="J14" s="910"/>
      <c r="K14" s="910"/>
      <c r="L14" s="519" t="s">
        <v>133</v>
      </c>
      <c r="M14" s="519"/>
      <c r="N14" s="910" t="s">
        <v>134</v>
      </c>
      <c r="O14" s="910"/>
    </row>
    <row r="15" spans="1:15" s="203" customFormat="1" ht="24.75" customHeight="1">
      <c r="A15" s="566">
        <v>1</v>
      </c>
      <c r="B15" s="516">
        <v>1</v>
      </c>
      <c r="C15" s="516" t="s">
        <v>325</v>
      </c>
      <c r="D15" s="959" t="s">
        <v>354</v>
      </c>
      <c r="E15" s="960"/>
      <c r="F15" s="961"/>
      <c r="G15" s="930"/>
      <c r="H15" s="931"/>
      <c r="I15" s="1031"/>
      <c r="J15" s="1032"/>
      <c r="K15" s="1033"/>
      <c r="L15" s="1034"/>
      <c r="M15" s="1035"/>
      <c r="N15" s="923"/>
      <c r="O15" s="924"/>
    </row>
    <row r="16" spans="1:15" s="203" customFormat="1" ht="24.75" customHeight="1">
      <c r="A16" s="194">
        <v>2</v>
      </c>
      <c r="B16" s="180">
        <v>2</v>
      </c>
      <c r="C16" s="180"/>
      <c r="D16" s="895" t="s">
        <v>355</v>
      </c>
      <c r="E16" s="896"/>
      <c r="F16" s="897"/>
      <c r="G16" s="898"/>
      <c r="H16" s="899"/>
      <c r="I16" s="900"/>
      <c r="J16" s="901"/>
      <c r="K16" s="902"/>
      <c r="L16" s="903"/>
      <c r="M16" s="904"/>
      <c r="N16" s="905"/>
      <c r="O16" s="906"/>
    </row>
    <row r="17" spans="1:15" s="203" customFormat="1" ht="24.75" customHeight="1">
      <c r="A17" s="194">
        <v>3</v>
      </c>
      <c r="B17" s="180">
        <v>3</v>
      </c>
      <c r="C17" s="180"/>
      <c r="D17" s="895" t="s">
        <v>356</v>
      </c>
      <c r="E17" s="896"/>
      <c r="F17" s="897"/>
      <c r="G17" s="898"/>
      <c r="H17" s="899"/>
      <c r="I17" s="900"/>
      <c r="J17" s="901"/>
      <c r="K17" s="902"/>
      <c r="L17" s="903"/>
      <c r="M17" s="904"/>
      <c r="N17" s="905"/>
      <c r="O17" s="906"/>
    </row>
    <row r="18" spans="1:15" s="203" customFormat="1" ht="24.75" customHeight="1">
      <c r="A18" s="194">
        <v>4</v>
      </c>
      <c r="B18" s="180">
        <v>4</v>
      </c>
      <c r="C18" s="180"/>
      <c r="D18" s="895" t="s">
        <v>357</v>
      </c>
      <c r="E18" s="896"/>
      <c r="F18" s="897"/>
      <c r="G18" s="898"/>
      <c r="H18" s="899"/>
      <c r="I18" s="900"/>
      <c r="J18" s="901"/>
      <c r="K18" s="902"/>
      <c r="L18" s="903"/>
      <c r="M18" s="904"/>
      <c r="N18" s="905"/>
      <c r="O18" s="906"/>
    </row>
    <row r="19" spans="1:15" s="203" customFormat="1" ht="24.75" customHeight="1">
      <c r="A19" s="194">
        <v>5</v>
      </c>
      <c r="B19" s="180">
        <v>5</v>
      </c>
      <c r="C19" s="180"/>
      <c r="D19" s="895" t="s">
        <v>358</v>
      </c>
      <c r="E19" s="896"/>
      <c r="F19" s="897"/>
      <c r="G19" s="898"/>
      <c r="H19" s="899"/>
      <c r="I19" s="900"/>
      <c r="J19" s="901"/>
      <c r="K19" s="902"/>
      <c r="L19" s="903"/>
      <c r="M19" s="904"/>
      <c r="N19" s="905"/>
      <c r="O19" s="906"/>
    </row>
    <row r="20" spans="1:15" s="203" customFormat="1" ht="24.75" customHeight="1">
      <c r="A20" s="194">
        <v>6</v>
      </c>
      <c r="B20" s="180">
        <v>6</v>
      </c>
      <c r="C20" s="180"/>
      <c r="D20" s="895" t="s">
        <v>359</v>
      </c>
      <c r="E20" s="896"/>
      <c r="F20" s="897"/>
      <c r="G20" s="898"/>
      <c r="H20" s="899"/>
      <c r="I20" s="900"/>
      <c r="J20" s="901"/>
      <c r="K20" s="902"/>
      <c r="L20" s="903"/>
      <c r="M20" s="904"/>
      <c r="N20" s="905"/>
      <c r="O20" s="906"/>
    </row>
    <row r="21" spans="1:15" s="203" customFormat="1" ht="24.75" customHeight="1">
      <c r="A21" s="194">
        <v>7</v>
      </c>
      <c r="B21" s="180">
        <v>7</v>
      </c>
      <c r="C21" s="180"/>
      <c r="D21" s="895" t="s">
        <v>414</v>
      </c>
      <c r="E21" s="896"/>
      <c r="F21" s="897"/>
      <c r="G21" s="898"/>
      <c r="H21" s="899"/>
      <c r="I21" s="900"/>
      <c r="J21" s="901"/>
      <c r="K21" s="902"/>
      <c r="L21" s="903"/>
      <c r="M21" s="904"/>
      <c r="N21" s="905"/>
      <c r="O21" s="906"/>
    </row>
    <row r="22" spans="1:15" s="203" customFormat="1" ht="24.75" customHeight="1">
      <c r="A22" s="194">
        <v>8</v>
      </c>
      <c r="B22" s="180">
        <v>8</v>
      </c>
      <c r="C22" s="180"/>
      <c r="D22" s="895" t="s">
        <v>360</v>
      </c>
      <c r="E22" s="896"/>
      <c r="F22" s="897"/>
      <c r="G22" s="898"/>
      <c r="H22" s="899"/>
      <c r="I22" s="900"/>
      <c r="J22" s="901"/>
      <c r="K22" s="902"/>
      <c r="L22" s="903"/>
      <c r="M22" s="904"/>
      <c r="N22" s="905"/>
      <c r="O22" s="906"/>
    </row>
    <row r="23" spans="1:15" s="203" customFormat="1" ht="24.75" customHeight="1">
      <c r="A23" s="194">
        <v>9</v>
      </c>
      <c r="B23" s="180"/>
      <c r="C23" s="180"/>
      <c r="D23" s="895"/>
      <c r="E23" s="896"/>
      <c r="F23" s="897"/>
      <c r="G23" s="898"/>
      <c r="H23" s="899"/>
      <c r="I23" s="900"/>
      <c r="J23" s="901"/>
      <c r="K23" s="902"/>
      <c r="L23" s="903"/>
      <c r="M23" s="904"/>
      <c r="N23" s="905"/>
      <c r="O23" s="906"/>
    </row>
    <row r="24" spans="1:15" s="203" customFormat="1" ht="24.75" customHeight="1" thickBot="1">
      <c r="A24" s="195">
        <v>10</v>
      </c>
      <c r="B24" s="181"/>
      <c r="C24" s="181"/>
      <c r="D24" s="895"/>
      <c r="E24" s="896"/>
      <c r="F24" s="897"/>
      <c r="G24" s="914"/>
      <c r="H24" s="915"/>
      <c r="I24" s="916"/>
      <c r="J24" s="917"/>
      <c r="K24" s="918"/>
      <c r="L24" s="919"/>
      <c r="M24" s="920"/>
      <c r="N24" s="921"/>
      <c r="O24" s="922"/>
    </row>
    <row r="25" spans="1:15" s="203" customFormat="1" ht="24.75" customHeight="1">
      <c r="A25" s="196" t="s">
        <v>39</v>
      </c>
      <c r="B25" s="179"/>
      <c r="C25" s="179"/>
      <c r="D25" s="938"/>
      <c r="E25" s="939"/>
      <c r="F25" s="940"/>
      <c r="G25" s="962"/>
      <c r="H25" s="963"/>
      <c r="I25" s="969"/>
      <c r="J25" s="970"/>
      <c r="K25" s="971"/>
      <c r="L25" s="972"/>
      <c r="M25" s="973"/>
      <c r="N25" s="893"/>
      <c r="O25" s="894"/>
    </row>
    <row r="26" spans="1:15" s="203" customFormat="1" ht="24.75" customHeight="1" thickBot="1">
      <c r="A26" s="197" t="s">
        <v>40</v>
      </c>
      <c r="B26" s="181"/>
      <c r="C26" s="181"/>
      <c r="D26" s="911"/>
      <c r="E26" s="912"/>
      <c r="F26" s="913"/>
      <c r="G26" s="914"/>
      <c r="H26" s="915"/>
      <c r="I26" s="925"/>
      <c r="J26" s="926"/>
      <c r="K26" s="927"/>
      <c r="L26" s="928"/>
      <c r="M26" s="929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384"/>
      <c r="E27" s="384"/>
      <c r="F27" s="385"/>
      <c r="G27" s="386">
        <v>49.7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13">
      <selection activeCell="G15" sqref="G15:O23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 customHeight="1">
      <c r="A10" s="186" t="s">
        <v>13</v>
      </c>
      <c r="B10" s="186"/>
      <c r="C10" s="186"/>
      <c r="D10" s="888" t="str">
        <f>Mannschaften!O145</f>
        <v>SG Stern Kaulsdorf</v>
      </c>
      <c r="E10" s="888"/>
      <c r="F10" s="888"/>
      <c r="G10" s="888"/>
      <c r="H10" s="888"/>
      <c r="I10" s="186"/>
      <c r="J10" s="889"/>
      <c r="K10" s="889"/>
      <c r="L10" s="889"/>
      <c r="M10" s="889"/>
      <c r="N10" s="889"/>
      <c r="O10" s="889"/>
    </row>
    <row r="11" s="203" customFormat="1" ht="6" customHeight="1"/>
    <row r="12" spans="6:14" s="203" customFormat="1" ht="18">
      <c r="F12" s="186" t="s">
        <v>157</v>
      </c>
      <c r="G12" s="184" t="str">
        <f>Mannschaften!H3</f>
        <v>M 45</v>
      </c>
      <c r="H12" s="186"/>
      <c r="I12" s="186" t="s">
        <v>135</v>
      </c>
      <c r="L12" s="188" t="str">
        <f>IF(Mannschaften!N3="","",Mannschaften!N3)</f>
        <v>31.12.</v>
      </c>
      <c r="M12" s="189">
        <f>IF(Mannschaften!O3="","",Mannschaften!O3)</f>
        <v>1965</v>
      </c>
      <c r="N12" s="186"/>
    </row>
    <row r="13" s="203" customFormat="1" ht="13.5" thickBot="1"/>
    <row r="14" spans="1:15" s="203" customFormat="1" ht="24.75" customHeight="1" thickBot="1">
      <c r="A14" s="190"/>
      <c r="B14" s="191" t="s">
        <v>109</v>
      </c>
      <c r="C14" s="191" t="s">
        <v>18</v>
      </c>
      <c r="D14" s="988" t="s">
        <v>20</v>
      </c>
      <c r="E14" s="988"/>
      <c r="F14" s="988"/>
      <c r="G14" s="988" t="s">
        <v>132</v>
      </c>
      <c r="H14" s="988"/>
      <c r="I14" s="988" t="s">
        <v>156</v>
      </c>
      <c r="J14" s="988"/>
      <c r="K14" s="988"/>
      <c r="L14" s="192" t="s">
        <v>133</v>
      </c>
      <c r="M14" s="192"/>
      <c r="N14" s="988" t="s">
        <v>134</v>
      </c>
      <c r="O14" s="988"/>
    </row>
    <row r="15" spans="1:15" s="203" customFormat="1" ht="24.75" customHeight="1">
      <c r="A15" s="193">
        <v>1</v>
      </c>
      <c r="B15" s="179"/>
      <c r="C15" s="456" t="s">
        <v>325</v>
      </c>
      <c r="D15" s="560" t="s">
        <v>327</v>
      </c>
      <c r="E15" s="561"/>
      <c r="F15" s="562"/>
      <c r="G15" s="1007"/>
      <c r="H15" s="1008"/>
      <c r="I15" s="1028"/>
      <c r="J15" s="1029"/>
      <c r="K15" s="1030"/>
      <c r="L15" s="1036"/>
      <c r="M15" s="1037"/>
      <c r="N15" s="893"/>
      <c r="O15" s="894"/>
    </row>
    <row r="16" spans="1:15" s="203" customFormat="1" ht="24.75" customHeight="1">
      <c r="A16" s="194">
        <v>2</v>
      </c>
      <c r="B16" s="180"/>
      <c r="C16" s="563"/>
      <c r="D16" s="554" t="s">
        <v>328</v>
      </c>
      <c r="E16" s="555"/>
      <c r="F16" s="556"/>
      <c r="G16" s="974"/>
      <c r="H16" s="975"/>
      <c r="I16" s="976"/>
      <c r="J16" s="977"/>
      <c r="K16" s="978"/>
      <c r="L16" s="979"/>
      <c r="M16" s="980"/>
      <c r="N16" s="905"/>
      <c r="O16" s="906"/>
    </row>
    <row r="17" spans="1:15" s="203" customFormat="1" ht="24.75" customHeight="1">
      <c r="A17" s="194">
        <v>3</v>
      </c>
      <c r="B17" s="180"/>
      <c r="C17" s="563"/>
      <c r="D17" s="554" t="s">
        <v>329</v>
      </c>
      <c r="E17" s="555"/>
      <c r="F17" s="556"/>
      <c r="G17" s="974"/>
      <c r="H17" s="975"/>
      <c r="I17" s="976"/>
      <c r="J17" s="977"/>
      <c r="K17" s="978"/>
      <c r="L17" s="979"/>
      <c r="M17" s="980"/>
      <c r="N17" s="905"/>
      <c r="O17" s="906"/>
    </row>
    <row r="18" spans="1:15" s="203" customFormat="1" ht="24.75" customHeight="1">
      <c r="A18" s="194">
        <v>4</v>
      </c>
      <c r="B18" s="180"/>
      <c r="C18" s="563"/>
      <c r="D18" s="554" t="s">
        <v>330</v>
      </c>
      <c r="E18" s="555"/>
      <c r="F18" s="556"/>
      <c r="G18" s="974"/>
      <c r="H18" s="975"/>
      <c r="I18" s="976"/>
      <c r="J18" s="977"/>
      <c r="K18" s="978"/>
      <c r="L18" s="979"/>
      <c r="M18" s="980"/>
      <c r="N18" s="905"/>
      <c r="O18" s="906"/>
    </row>
    <row r="19" spans="1:15" s="203" customFormat="1" ht="24.75" customHeight="1">
      <c r="A19" s="194">
        <v>5</v>
      </c>
      <c r="B19" s="180"/>
      <c r="C19" s="563"/>
      <c r="D19" s="554" t="s">
        <v>334</v>
      </c>
      <c r="E19" s="555"/>
      <c r="F19" s="556"/>
      <c r="G19" s="974"/>
      <c r="H19" s="975"/>
      <c r="I19" s="976"/>
      <c r="J19" s="977"/>
      <c r="K19" s="978"/>
      <c r="L19" s="979"/>
      <c r="M19" s="980"/>
      <c r="N19" s="905"/>
      <c r="O19" s="906"/>
    </row>
    <row r="20" spans="1:15" s="203" customFormat="1" ht="24.75" customHeight="1">
      <c r="A20" s="194">
        <v>6</v>
      </c>
      <c r="B20" s="180"/>
      <c r="C20" s="563"/>
      <c r="D20" s="554" t="s">
        <v>346</v>
      </c>
      <c r="E20" s="555"/>
      <c r="F20" s="556"/>
      <c r="G20" s="974"/>
      <c r="H20" s="975"/>
      <c r="I20" s="976"/>
      <c r="J20" s="977"/>
      <c r="K20" s="978"/>
      <c r="L20" s="979"/>
      <c r="M20" s="980"/>
      <c r="N20" s="905"/>
      <c r="O20" s="906"/>
    </row>
    <row r="21" spans="1:15" s="203" customFormat="1" ht="24.75" customHeight="1">
      <c r="A21" s="194">
        <v>7</v>
      </c>
      <c r="B21" s="180"/>
      <c r="C21" s="563"/>
      <c r="D21" s="554" t="s">
        <v>331</v>
      </c>
      <c r="E21" s="555"/>
      <c r="F21" s="556"/>
      <c r="G21" s="974"/>
      <c r="H21" s="975"/>
      <c r="I21" s="976"/>
      <c r="J21" s="977"/>
      <c r="K21" s="978"/>
      <c r="L21" s="979"/>
      <c r="M21" s="980"/>
      <c r="N21" s="905"/>
      <c r="O21" s="906"/>
    </row>
    <row r="22" spans="1:15" s="203" customFormat="1" ht="24.75" customHeight="1">
      <c r="A22" s="194">
        <v>8</v>
      </c>
      <c r="B22" s="180"/>
      <c r="C22" s="563"/>
      <c r="D22" s="554" t="s">
        <v>332</v>
      </c>
      <c r="E22" s="555"/>
      <c r="F22" s="556"/>
      <c r="G22" s="974"/>
      <c r="H22" s="975"/>
      <c r="I22" s="976"/>
      <c r="J22" s="977"/>
      <c r="K22" s="978"/>
      <c r="L22" s="979"/>
      <c r="M22" s="980"/>
      <c r="N22" s="905"/>
      <c r="O22" s="906"/>
    </row>
    <row r="23" spans="1:15" s="203" customFormat="1" ht="24.75" customHeight="1">
      <c r="A23" s="194">
        <v>9</v>
      </c>
      <c r="B23" s="180"/>
      <c r="C23" s="563"/>
      <c r="D23" s="554" t="s">
        <v>333</v>
      </c>
      <c r="E23" s="555"/>
      <c r="F23" s="556"/>
      <c r="G23" s="974"/>
      <c r="H23" s="975"/>
      <c r="I23" s="976"/>
      <c r="J23" s="977"/>
      <c r="K23" s="978"/>
      <c r="L23" s="979"/>
      <c r="M23" s="980"/>
      <c r="N23" s="905"/>
      <c r="O23" s="906"/>
    </row>
    <row r="24" spans="1:15" s="203" customFormat="1" ht="24.75" customHeight="1" thickBot="1">
      <c r="A24" s="195">
        <v>10</v>
      </c>
      <c r="B24" s="181"/>
      <c r="C24" s="457"/>
      <c r="D24" s="557"/>
      <c r="E24" s="558"/>
      <c r="F24" s="559"/>
      <c r="G24" s="989"/>
      <c r="H24" s="990"/>
      <c r="I24" s="991"/>
      <c r="J24" s="992"/>
      <c r="K24" s="993"/>
      <c r="L24" s="994"/>
      <c r="M24" s="995"/>
      <c r="N24" s="921"/>
      <c r="O24" s="922"/>
    </row>
    <row r="25" spans="1:15" s="203" customFormat="1" ht="24.75" customHeight="1" thickBot="1">
      <c r="A25" s="196" t="s">
        <v>39</v>
      </c>
      <c r="B25" s="179"/>
      <c r="C25" s="514"/>
      <c r="D25" s="557"/>
      <c r="E25" s="558"/>
      <c r="F25" s="559"/>
      <c r="G25" s="989"/>
      <c r="H25" s="990"/>
      <c r="I25" s="991"/>
      <c r="J25" s="992"/>
      <c r="K25" s="993"/>
      <c r="L25" s="994"/>
      <c r="M25" s="995"/>
      <c r="N25" s="893"/>
      <c r="O25" s="894"/>
    </row>
    <row r="26" spans="1:15" s="203" customFormat="1" ht="24.75" customHeight="1" thickBot="1">
      <c r="A26" s="197" t="s">
        <v>40</v>
      </c>
      <c r="B26" s="181"/>
      <c r="C26" s="457"/>
      <c r="D26" s="1038" t="s">
        <v>347</v>
      </c>
      <c r="E26" s="1039"/>
      <c r="F26" s="1040"/>
      <c r="G26" s="989"/>
      <c r="H26" s="990"/>
      <c r="I26" s="991"/>
      <c r="J26" s="992"/>
      <c r="K26" s="993"/>
      <c r="L26" s="994"/>
      <c r="M26" s="995"/>
      <c r="N26" s="921"/>
      <c r="O26" s="922"/>
    </row>
    <row r="27" spans="1:15" s="203" customFormat="1" ht="24.75" customHeight="1" thickBot="1">
      <c r="A27" s="383" t="s">
        <v>213</v>
      </c>
      <c r="B27" s="384"/>
      <c r="C27" s="384"/>
      <c r="D27" s="512"/>
      <c r="E27" s="512"/>
      <c r="F27" s="513"/>
      <c r="G27" s="386">
        <v>49.4</v>
      </c>
      <c r="H27" s="214" t="s">
        <v>214</v>
      </c>
      <c r="I27" s="384"/>
      <c r="J27" s="384"/>
      <c r="K27" s="384"/>
      <c r="L27" s="384"/>
      <c r="M27" s="384"/>
      <c r="N27" s="384"/>
      <c r="O27" s="385"/>
    </row>
    <row r="28" spans="11:13" ht="12.75" hidden="1">
      <c r="K28" s="182">
        <f>IF(L12="31.12.",31,IF(L12="01.01.",1,IF(L12="01.07.",1,30)))</f>
        <v>31</v>
      </c>
      <c r="L28" s="182">
        <f>IF(L12="31.12.",12,IF(L12="01.01.",1,IF(L12="01.07.",7,6)))</f>
        <v>12</v>
      </c>
      <c r="M28" s="182">
        <f>M12</f>
        <v>1965</v>
      </c>
    </row>
    <row r="29" spans="4:15" ht="12.75" hidden="1">
      <c r="D29" s="183">
        <f>IF(G15="","",G15)</f>
      </c>
      <c r="E29" s="183">
        <f>IF(D29="","",D29+1)</f>
      </c>
      <c r="F29" s="182">
        <f>IF(D29="","",DAY(D29))</f>
      </c>
      <c r="G29" s="182">
        <f>IF(D29="","",MONTH(D29))</f>
      </c>
      <c r="H29" s="178">
        <f>IF(D29="","",YEAR(D29))</f>
      </c>
      <c r="K29" s="178">
        <f>IF(D29="","",$K$28-F29)</f>
      </c>
      <c r="L29" s="178">
        <f aca="true" t="shared" si="0" ref="L29:L38">IF(D29="","",$L$28-G29)</f>
      </c>
      <c r="M29" s="178">
        <f aca="true" t="shared" si="1" ref="M29:M38">IF(D29="","",$M$28-H29)</f>
      </c>
      <c r="N29" s="178" t="e">
        <f>K29+(L29*100)+(M29*10000)</f>
        <v>#VALUE!</v>
      </c>
      <c r="O29" s="178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83">
        <f aca="true" t="shared" si="2" ref="D30:D38">IF(G16="","",G16)</f>
      </c>
      <c r="E30" s="183">
        <f aca="true" t="shared" si="3" ref="E30:E38">IF(D30="","",D30+1)</f>
      </c>
      <c r="F30" s="182">
        <f aca="true" t="shared" si="4" ref="F30:F38">IF(D30="","",DAY(D30))</f>
      </c>
      <c r="G30" s="182">
        <f aca="true" t="shared" si="5" ref="G30:G38">IF(D30="","",MONTH(D30))</f>
      </c>
      <c r="H30" s="178">
        <f aca="true" t="shared" si="6" ref="H30:H38">IF(D30="","",YEAR(D30))</f>
      </c>
      <c r="K30" s="178">
        <f aca="true" t="shared" si="7" ref="K30:K35">IF(D30="","",$K$28-F30)</f>
      </c>
      <c r="L30" s="178">
        <f t="shared" si="0"/>
      </c>
      <c r="M30" s="178">
        <f t="shared" si="1"/>
      </c>
      <c r="N30" s="178" t="e">
        <f aca="true" t="shared" si="8" ref="N30:N35">K30+(L30*100)+(M30*10000)</f>
        <v>#VALUE!</v>
      </c>
      <c r="O30" s="178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83">
        <f t="shared" si="2"/>
      </c>
      <c r="E31" s="183">
        <f t="shared" si="3"/>
      </c>
      <c r="F31" s="182">
        <f t="shared" si="4"/>
      </c>
      <c r="G31" s="182">
        <f t="shared" si="5"/>
      </c>
      <c r="H31" s="178">
        <f t="shared" si="6"/>
      </c>
      <c r="K31" s="178">
        <f t="shared" si="7"/>
      </c>
      <c r="L31" s="178">
        <f t="shared" si="0"/>
      </c>
      <c r="M31" s="178">
        <f t="shared" si="1"/>
      </c>
      <c r="N31" s="178" t="e">
        <f t="shared" si="8"/>
        <v>#VALUE!</v>
      </c>
      <c r="O31" s="178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83">
        <f t="shared" si="2"/>
      </c>
      <c r="E32" s="183">
        <f t="shared" si="3"/>
      </c>
      <c r="F32" s="182">
        <f t="shared" si="4"/>
      </c>
      <c r="G32" s="182">
        <f t="shared" si="5"/>
      </c>
      <c r="H32" s="178">
        <f t="shared" si="6"/>
      </c>
      <c r="K32" s="178">
        <f t="shared" si="7"/>
      </c>
      <c r="L32" s="178">
        <f t="shared" si="0"/>
      </c>
      <c r="M32" s="178">
        <f t="shared" si="1"/>
      </c>
      <c r="N32" s="178" t="e">
        <f t="shared" si="8"/>
        <v>#VALUE!</v>
      </c>
      <c r="O32" s="178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83">
        <f t="shared" si="2"/>
      </c>
      <c r="E33" s="183">
        <f t="shared" si="3"/>
      </c>
      <c r="F33" s="182">
        <f t="shared" si="4"/>
      </c>
      <c r="G33" s="182">
        <f t="shared" si="5"/>
      </c>
      <c r="H33" s="178">
        <f t="shared" si="6"/>
      </c>
      <c r="K33" s="178">
        <f t="shared" si="7"/>
      </c>
      <c r="L33" s="178">
        <f t="shared" si="0"/>
      </c>
      <c r="M33" s="178">
        <f t="shared" si="1"/>
      </c>
      <c r="N33" s="178" t="e">
        <f t="shared" si="8"/>
        <v>#VALUE!</v>
      </c>
      <c r="O33" s="178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83">
        <f>IF(G20="","",G20)</f>
      </c>
      <c r="E34" s="183">
        <f t="shared" si="3"/>
      </c>
      <c r="F34" s="182">
        <f t="shared" si="4"/>
      </c>
      <c r="G34" s="182">
        <f t="shared" si="5"/>
      </c>
      <c r="H34" s="178">
        <f t="shared" si="6"/>
      </c>
      <c r="K34" s="178">
        <f t="shared" si="7"/>
      </c>
      <c r="L34" s="178">
        <f t="shared" si="0"/>
      </c>
      <c r="M34" s="178">
        <f t="shared" si="1"/>
      </c>
      <c r="N34" s="178" t="e">
        <f t="shared" si="8"/>
        <v>#VALUE!</v>
      </c>
      <c r="O34" s="178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78">
        <f>DAY(Mannschaften!K4)</f>
        <v>4</v>
      </c>
      <c r="E40" s="178">
        <f>MONTH(Mannschaften!K4)</f>
        <v>9</v>
      </c>
      <c r="H40" s="178">
        <f>DAY(Mannschaften!M4)</f>
        <v>5</v>
      </c>
      <c r="I40" s="178">
        <f>MONTH(Mannschaften!M4)</f>
        <v>9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</c>
      <c r="H54" s="178">
        <f>IF(G54="",0,1)</f>
        <v>0</v>
      </c>
    </row>
    <row r="55" spans="7:8" ht="12.75" hidden="1">
      <c r="G55" s="182">
        <f aca="true" t="shared" si="15" ref="G55:G63">IF(G16="","",I$4-G16)</f>
      </c>
      <c r="H55" s="178">
        <f aca="true" t="shared" si="16" ref="H55:H63">IF(G55="",0,1)</f>
        <v>0</v>
      </c>
    </row>
    <row r="56" spans="7:8" ht="12.75" hidden="1">
      <c r="G56" s="182">
        <f t="shared" si="15"/>
      </c>
      <c r="H56" s="178">
        <f t="shared" si="16"/>
        <v>0</v>
      </c>
    </row>
    <row r="57" spans="7:8" ht="12.75" hidden="1">
      <c r="G57" s="182">
        <f t="shared" si="15"/>
      </c>
      <c r="H57" s="178">
        <f t="shared" si="16"/>
        <v>0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0</v>
      </c>
    </row>
    <row r="65" ht="12.75" hidden="1">
      <c r="G65" s="212">
        <f>IF(H64=0,"",SUM(G54:G63)/365/H64)</f>
      </c>
    </row>
    <row r="66" ht="12.75" hidden="1"/>
  </sheetData>
  <sheetProtection selectLockedCells="1"/>
  <mergeCells count="59">
    <mergeCell ref="N25:O25"/>
    <mergeCell ref="D26:F26"/>
    <mergeCell ref="G26:H26"/>
    <mergeCell ref="I26:K26"/>
    <mergeCell ref="L26:M26"/>
    <mergeCell ref="N26:O26"/>
    <mergeCell ref="G25:H25"/>
    <mergeCell ref="I25:K25"/>
    <mergeCell ref="L25:M25"/>
    <mergeCell ref="G23:H23"/>
    <mergeCell ref="N23:O23"/>
    <mergeCell ref="G24:H24"/>
    <mergeCell ref="I24:K24"/>
    <mergeCell ref="L24:M24"/>
    <mergeCell ref="N24:O24"/>
    <mergeCell ref="I23:K23"/>
    <mergeCell ref="L23:M23"/>
    <mergeCell ref="N21:O21"/>
    <mergeCell ref="G22:H22"/>
    <mergeCell ref="I22:K22"/>
    <mergeCell ref="L22:M22"/>
    <mergeCell ref="N22:O22"/>
    <mergeCell ref="G21:H21"/>
    <mergeCell ref="I21:K21"/>
    <mergeCell ref="L21:M21"/>
    <mergeCell ref="N19:O19"/>
    <mergeCell ref="G20:H20"/>
    <mergeCell ref="I20:K20"/>
    <mergeCell ref="L20:M20"/>
    <mergeCell ref="N20:O20"/>
    <mergeCell ref="G19:H19"/>
    <mergeCell ref="I19:K19"/>
    <mergeCell ref="L19:M19"/>
    <mergeCell ref="N17:O17"/>
    <mergeCell ref="G18:H18"/>
    <mergeCell ref="I18:K18"/>
    <mergeCell ref="L18:M18"/>
    <mergeCell ref="N18:O18"/>
    <mergeCell ref="G17:H17"/>
    <mergeCell ref="I17:K17"/>
    <mergeCell ref="L17:M17"/>
    <mergeCell ref="D14:F14"/>
    <mergeCell ref="G14:H14"/>
    <mergeCell ref="I14:K14"/>
    <mergeCell ref="N14:O14"/>
    <mergeCell ref="N15:O15"/>
    <mergeCell ref="G16:H16"/>
    <mergeCell ref="I16:K16"/>
    <mergeCell ref="L16:M16"/>
    <mergeCell ref="N16:O16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6">
    <cfRule type="expression" priority="1" dxfId="0" stopIfTrue="1">
      <formula>$O29&lt;0</formula>
    </cfRule>
    <cfRule type="expression" priority="2" dxfId="1" stopIfTrue="1">
      <formula>$K41=2</formula>
    </cfRule>
    <cfRule type="expression" priority="3" dxfId="1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workbookViewId="0" topLeftCell="A1">
      <selection activeCell="F1" sqref="F1:AD1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40" t="s">
        <v>129</v>
      </c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42" t="s">
        <v>242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</row>
    <row r="4" spans="1:35" ht="19.5" customHeight="1">
      <c r="A4" s="643" t="s">
        <v>243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</row>
    <row r="5" spans="1:35" ht="18">
      <c r="A5" s="643" t="s">
        <v>231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</row>
    <row r="6" spans="1:35" ht="9.75" customHeight="1">
      <c r="A6" s="643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643"/>
      <c r="AF6" s="643"/>
      <c r="AG6" s="643"/>
      <c r="AH6" s="643"/>
      <c r="AI6" s="643"/>
    </row>
    <row r="7" spans="1:37" ht="18" customHeight="1">
      <c r="A7" s="506" t="s">
        <v>299</v>
      </c>
      <c r="B7" s="17"/>
      <c r="C7" s="17" t="s">
        <v>288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211"/>
      <c r="AD7" s="211"/>
      <c r="AE7" s="211"/>
      <c r="AF7" s="211"/>
      <c r="AG7" s="211"/>
      <c r="AH7" s="211"/>
      <c r="AI7" s="211"/>
      <c r="AJ7" s="211"/>
      <c r="AK7" s="211"/>
    </row>
    <row r="8" spans="1:37" s="17" customFormat="1" ht="18" customHeight="1">
      <c r="A8" s="506"/>
      <c r="C8" s="17" t="s">
        <v>244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211"/>
      <c r="AE8" s="211"/>
      <c r="AF8" s="211"/>
      <c r="AG8" s="211"/>
      <c r="AH8" s="211"/>
      <c r="AI8" s="211"/>
      <c r="AJ8" s="211"/>
      <c r="AK8" s="211"/>
    </row>
    <row r="9" spans="1:37" s="17" customFormat="1" ht="9.75" customHeight="1">
      <c r="A9" s="506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1"/>
      <c r="AD9" s="211"/>
      <c r="AE9" s="211"/>
      <c r="AF9" s="211"/>
      <c r="AG9" s="211"/>
      <c r="AH9" s="211"/>
      <c r="AI9" s="211"/>
      <c r="AJ9" s="211"/>
      <c r="AK9" s="211"/>
    </row>
    <row r="10" spans="1:37" s="17" customFormat="1" ht="18" customHeight="1">
      <c r="A10" s="506" t="s">
        <v>300</v>
      </c>
      <c r="C10" s="17" t="s">
        <v>245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1"/>
      <c r="AD10" s="211"/>
      <c r="AE10" s="211"/>
      <c r="AF10" s="211"/>
      <c r="AG10" s="211"/>
      <c r="AH10" s="211"/>
      <c r="AI10" s="211"/>
      <c r="AJ10" s="211"/>
      <c r="AK10" s="211"/>
    </row>
    <row r="11" spans="1:37" s="17" customFormat="1" ht="18" customHeight="1">
      <c r="A11" s="506"/>
      <c r="C11" s="17" t="s">
        <v>289</v>
      </c>
      <c r="D11" s="210"/>
      <c r="E11" s="210"/>
      <c r="F11" s="210"/>
      <c r="G11" s="210"/>
      <c r="H11" s="210"/>
      <c r="I11" s="210"/>
      <c r="J11" s="211"/>
      <c r="K11" s="210"/>
      <c r="L11" s="211"/>
      <c r="M11" s="211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1"/>
      <c r="AD11" s="211"/>
      <c r="AE11" s="211"/>
      <c r="AF11" s="211"/>
      <c r="AG11" s="211"/>
      <c r="AH11" s="211"/>
      <c r="AI11" s="211"/>
      <c r="AJ11" s="211"/>
      <c r="AK11" s="211"/>
    </row>
    <row r="12" spans="1:37" s="17" customFormat="1" ht="18" customHeight="1">
      <c r="A12" s="506"/>
      <c r="C12" s="17" t="s">
        <v>246</v>
      </c>
      <c r="D12" s="210"/>
      <c r="E12" s="210"/>
      <c r="F12" s="210"/>
      <c r="G12" s="210"/>
      <c r="H12" s="210"/>
      <c r="I12" s="210"/>
      <c r="J12" s="210"/>
      <c r="K12" s="210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</row>
    <row r="13" spans="1:37" s="17" customFormat="1" ht="18" customHeight="1">
      <c r="A13" s="506"/>
      <c r="C13" s="17" t="s">
        <v>247</v>
      </c>
      <c r="D13" s="210"/>
      <c r="E13" s="210"/>
      <c r="F13" s="210"/>
      <c r="G13" s="210"/>
      <c r="H13" s="210"/>
      <c r="I13" s="210"/>
      <c r="J13" s="210"/>
      <c r="K13" s="210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</row>
    <row r="14" spans="1:37" s="17" customFormat="1" ht="18" customHeight="1">
      <c r="A14" s="506"/>
      <c r="C14" s="17" t="s">
        <v>290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  <c r="U14" s="210"/>
      <c r="V14" s="210"/>
      <c r="W14" s="210"/>
      <c r="X14" s="210"/>
      <c r="Y14" s="210"/>
      <c r="Z14" s="210"/>
      <c r="AA14" s="210"/>
      <c r="AB14" s="210"/>
      <c r="AC14" s="211"/>
      <c r="AD14" s="211"/>
      <c r="AE14" s="211"/>
      <c r="AF14" s="211"/>
      <c r="AG14" s="211"/>
      <c r="AH14" s="211"/>
      <c r="AI14" s="211"/>
      <c r="AJ14" s="211"/>
      <c r="AK14" s="211"/>
    </row>
    <row r="15" spans="1:37" s="17" customFormat="1" ht="9.75" customHeight="1">
      <c r="A15" s="506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1"/>
      <c r="U15" s="210"/>
      <c r="V15" s="210"/>
      <c r="W15" s="210"/>
      <c r="X15" s="210"/>
      <c r="Y15" s="210"/>
      <c r="Z15" s="210"/>
      <c r="AA15" s="210"/>
      <c r="AB15" s="210"/>
      <c r="AC15" s="211"/>
      <c r="AD15" s="211"/>
      <c r="AE15" s="211"/>
      <c r="AF15" s="211"/>
      <c r="AG15" s="211"/>
      <c r="AH15" s="211"/>
      <c r="AI15" s="211"/>
      <c r="AJ15" s="211"/>
      <c r="AK15" s="211"/>
    </row>
    <row r="16" spans="1:37" s="17" customFormat="1" ht="18" customHeight="1">
      <c r="A16" s="506" t="s">
        <v>301</v>
      </c>
      <c r="C16" s="17" t="s">
        <v>248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1"/>
      <c r="U16" s="210"/>
      <c r="V16" s="210"/>
      <c r="W16" s="210"/>
      <c r="X16" s="210"/>
      <c r="Y16" s="210"/>
      <c r="Z16" s="210"/>
      <c r="AA16" s="210"/>
      <c r="AB16" s="210"/>
      <c r="AC16" s="211"/>
      <c r="AD16" s="211"/>
      <c r="AE16" s="211"/>
      <c r="AF16" s="211"/>
      <c r="AG16" s="211"/>
      <c r="AH16" s="211"/>
      <c r="AI16" s="211"/>
      <c r="AJ16" s="211"/>
      <c r="AK16" s="211"/>
    </row>
    <row r="17" spans="1:37" s="17" customFormat="1" ht="18" customHeight="1">
      <c r="A17" s="506"/>
      <c r="C17" s="17" t="s">
        <v>249</v>
      </c>
      <c r="D17" s="210"/>
      <c r="E17" s="210"/>
      <c r="F17" s="210"/>
      <c r="G17" s="210"/>
      <c r="H17" s="210"/>
      <c r="I17" s="210"/>
      <c r="J17" s="210"/>
      <c r="K17" s="210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0"/>
      <c r="Y17" s="210"/>
      <c r="Z17" s="210"/>
      <c r="AA17" s="210"/>
      <c r="AB17" s="210"/>
      <c r="AC17" s="211"/>
      <c r="AD17" s="211"/>
      <c r="AE17" s="211"/>
      <c r="AF17" s="211"/>
      <c r="AG17" s="211"/>
      <c r="AH17" s="211"/>
      <c r="AI17" s="211"/>
      <c r="AJ17" s="211"/>
      <c r="AK17" s="211"/>
    </row>
    <row r="18" spans="1:37" s="17" customFormat="1" ht="18" customHeight="1">
      <c r="A18" s="506"/>
      <c r="C18" s="17" t="s">
        <v>250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1"/>
      <c r="AD18" s="211"/>
      <c r="AE18" s="211"/>
      <c r="AF18" s="211"/>
      <c r="AG18" s="211"/>
      <c r="AH18" s="211"/>
      <c r="AI18" s="211"/>
      <c r="AJ18" s="211"/>
      <c r="AK18" s="211"/>
    </row>
    <row r="19" spans="1:37" s="17" customFormat="1" ht="18" customHeight="1">
      <c r="A19" s="506"/>
      <c r="C19" s="17" t="s">
        <v>251</v>
      </c>
      <c r="D19" s="210"/>
      <c r="E19" s="210"/>
      <c r="F19" s="210"/>
      <c r="G19" s="210"/>
      <c r="H19" s="210"/>
      <c r="I19" s="210"/>
      <c r="J19" s="210"/>
      <c r="K19" s="210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</row>
    <row r="20" spans="1:37" s="17" customFormat="1" ht="18" customHeight="1">
      <c r="A20" s="506"/>
      <c r="C20" s="17" t="s">
        <v>252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1"/>
      <c r="U20" s="210"/>
      <c r="V20" s="210"/>
      <c r="W20" s="210"/>
      <c r="X20" s="210"/>
      <c r="Y20" s="210"/>
      <c r="Z20" s="210"/>
      <c r="AA20" s="210"/>
      <c r="AB20" s="210"/>
      <c r="AC20" s="211"/>
      <c r="AD20" s="211"/>
      <c r="AE20" s="211"/>
      <c r="AF20" s="211"/>
      <c r="AG20" s="211"/>
      <c r="AH20" s="211"/>
      <c r="AI20" s="211"/>
      <c r="AJ20" s="211"/>
      <c r="AK20" s="211"/>
    </row>
    <row r="21" spans="1:37" s="17" customFormat="1" ht="18" customHeight="1">
      <c r="A21" s="506"/>
      <c r="C21" s="17" t="s">
        <v>253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1"/>
      <c r="AD21" s="211"/>
      <c r="AE21" s="211"/>
      <c r="AF21" s="211"/>
      <c r="AG21" s="211"/>
      <c r="AH21" s="211"/>
      <c r="AI21" s="211"/>
      <c r="AJ21" s="211"/>
      <c r="AK21" s="211"/>
    </row>
    <row r="22" spans="1:37" s="17" customFormat="1" ht="9.75" customHeight="1">
      <c r="A22" s="506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1"/>
      <c r="AD22" s="211"/>
      <c r="AE22" s="211"/>
      <c r="AF22" s="211"/>
      <c r="AG22" s="211"/>
      <c r="AH22" s="211"/>
      <c r="AI22" s="211"/>
      <c r="AJ22" s="211"/>
      <c r="AK22" s="211"/>
    </row>
    <row r="23" spans="1:37" s="17" customFormat="1" ht="18" customHeight="1">
      <c r="A23" s="506" t="s">
        <v>302</v>
      </c>
      <c r="C23" s="17" t="s">
        <v>254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/>
      <c r="AD23" s="211"/>
      <c r="AE23" s="211"/>
      <c r="AF23" s="211"/>
      <c r="AG23" s="211"/>
      <c r="AH23" s="211"/>
      <c r="AI23" s="211"/>
      <c r="AJ23" s="211"/>
      <c r="AK23" s="211"/>
    </row>
    <row r="24" spans="1:37" s="17" customFormat="1" ht="18" customHeight="1">
      <c r="A24" s="506"/>
      <c r="C24" s="17" t="s">
        <v>255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1"/>
      <c r="AD24" s="210"/>
      <c r="AE24" s="211"/>
      <c r="AF24" s="210"/>
      <c r="AG24" s="211"/>
      <c r="AH24" s="211"/>
      <c r="AI24" s="211"/>
      <c r="AJ24" s="211"/>
      <c r="AK24" s="211"/>
    </row>
    <row r="25" spans="1:37" s="17" customFormat="1" ht="18" customHeight="1">
      <c r="A25" s="506"/>
      <c r="C25" s="17" t="s">
        <v>256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1"/>
      <c r="AD25" s="210"/>
      <c r="AE25" s="211"/>
      <c r="AF25" s="210"/>
      <c r="AG25" s="211"/>
      <c r="AH25" s="211"/>
      <c r="AI25" s="211"/>
      <c r="AJ25" s="211"/>
      <c r="AK25" s="211"/>
    </row>
    <row r="26" spans="1:37" s="17" customFormat="1" ht="18" customHeight="1">
      <c r="A26" s="506"/>
      <c r="C26" s="17" t="s">
        <v>257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1"/>
      <c r="AD26" s="210"/>
      <c r="AE26" s="211"/>
      <c r="AF26" s="210"/>
      <c r="AG26" s="211"/>
      <c r="AH26" s="211"/>
      <c r="AI26" s="211"/>
      <c r="AJ26" s="211"/>
      <c r="AK26" s="211"/>
    </row>
    <row r="27" spans="1:37" s="17" customFormat="1" ht="18" customHeight="1">
      <c r="A27" s="506"/>
      <c r="C27" s="17" t="s">
        <v>258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1"/>
      <c r="AD27" s="211"/>
      <c r="AE27" s="211"/>
      <c r="AF27" s="211"/>
      <c r="AG27" s="211"/>
      <c r="AH27" s="211"/>
      <c r="AI27" s="211"/>
      <c r="AJ27" s="211"/>
      <c r="AK27" s="211"/>
    </row>
    <row r="28" spans="1:37" s="17" customFormat="1" ht="18" customHeight="1">
      <c r="A28" s="506"/>
      <c r="C28" s="17" t="s">
        <v>259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1"/>
      <c r="AD28" s="211"/>
      <c r="AE28" s="211"/>
      <c r="AF28" s="211"/>
      <c r="AG28" s="211"/>
      <c r="AH28" s="211"/>
      <c r="AI28" s="211"/>
      <c r="AJ28" s="211"/>
      <c r="AK28" s="211"/>
    </row>
    <row r="29" spans="1:37" s="17" customFormat="1" ht="18" customHeight="1">
      <c r="A29" s="506"/>
      <c r="C29" s="17" t="s">
        <v>260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211"/>
      <c r="AE29" s="211"/>
      <c r="AF29" s="211"/>
      <c r="AG29" s="211"/>
      <c r="AH29" s="211"/>
      <c r="AI29" s="211"/>
      <c r="AJ29" s="211"/>
      <c r="AK29" s="211"/>
    </row>
    <row r="30" spans="1:37" s="17" customFormat="1" ht="18" customHeight="1">
      <c r="A30" s="506"/>
      <c r="C30" s="17" t="s">
        <v>261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1"/>
      <c r="AD30" s="211"/>
      <c r="AE30" s="211"/>
      <c r="AF30" s="211"/>
      <c r="AG30" s="211"/>
      <c r="AH30" s="211"/>
      <c r="AI30" s="211"/>
      <c r="AJ30" s="211"/>
      <c r="AK30" s="211"/>
    </row>
    <row r="31" spans="1:37" s="17" customFormat="1" ht="18" customHeight="1">
      <c r="A31" s="506"/>
      <c r="C31" s="17" t="s">
        <v>262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1"/>
      <c r="AD31" s="211"/>
      <c r="AE31" s="211"/>
      <c r="AF31" s="211"/>
      <c r="AG31" s="211"/>
      <c r="AH31" s="211"/>
      <c r="AI31" s="211"/>
      <c r="AJ31" s="211"/>
      <c r="AK31" s="211"/>
    </row>
    <row r="32" spans="1:37" s="17" customFormat="1" ht="9.75" customHeight="1">
      <c r="A32" s="506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1"/>
      <c r="AD32" s="211"/>
      <c r="AE32" s="211"/>
      <c r="AF32" s="211"/>
      <c r="AG32" s="211"/>
      <c r="AH32" s="211"/>
      <c r="AI32" s="211"/>
      <c r="AJ32" s="211"/>
      <c r="AK32" s="211"/>
    </row>
    <row r="33" spans="1:37" s="17" customFormat="1" ht="18" customHeight="1">
      <c r="A33" s="506" t="s">
        <v>303</v>
      </c>
      <c r="C33" s="17" t="s">
        <v>263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1"/>
      <c r="AD33" s="211"/>
      <c r="AE33" s="211"/>
      <c r="AF33" s="211"/>
      <c r="AG33" s="211"/>
      <c r="AH33" s="211"/>
      <c r="AI33" s="211"/>
      <c r="AJ33" s="211"/>
      <c r="AK33" s="211"/>
    </row>
    <row r="34" spans="1:37" s="17" customFormat="1" ht="18" customHeight="1">
      <c r="A34" s="506"/>
      <c r="C34" s="17" t="s">
        <v>264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9"/>
      <c r="AD34" s="509"/>
      <c r="AE34" s="509"/>
      <c r="AF34" s="211"/>
      <c r="AG34" s="211"/>
      <c r="AH34" s="211"/>
      <c r="AI34" s="211"/>
      <c r="AJ34" s="211"/>
      <c r="AK34" s="211"/>
    </row>
    <row r="35" spans="1:37" s="17" customFormat="1" ht="18" customHeight="1">
      <c r="A35" s="506"/>
      <c r="C35" s="17" t="s">
        <v>291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211"/>
      <c r="AG35" s="211"/>
      <c r="AH35" s="211"/>
      <c r="AI35" s="211"/>
      <c r="AJ35" s="211"/>
      <c r="AK35" s="211"/>
    </row>
    <row r="36" spans="1:37" s="17" customFormat="1" ht="18" customHeight="1">
      <c r="A36" s="506"/>
      <c r="C36" s="17" t="s">
        <v>292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</row>
    <row r="37" spans="1:37" s="17" customFormat="1" ht="18" customHeight="1">
      <c r="A37" s="506"/>
      <c r="C37" s="17" t="s">
        <v>293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1"/>
      <c r="AD37" s="211"/>
      <c r="AE37" s="211"/>
      <c r="AF37" s="211"/>
      <c r="AG37" s="211"/>
      <c r="AH37" s="211"/>
      <c r="AI37" s="211"/>
      <c r="AJ37" s="211"/>
      <c r="AK37" s="211"/>
    </row>
    <row r="38" spans="1:37" s="17" customFormat="1" ht="18" customHeight="1">
      <c r="A38" s="506"/>
      <c r="C38" s="17" t="s">
        <v>294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1"/>
      <c r="AD38" s="211"/>
      <c r="AE38" s="211"/>
      <c r="AF38" s="211"/>
      <c r="AG38" s="211"/>
      <c r="AH38" s="211"/>
      <c r="AI38" s="211"/>
      <c r="AJ38" s="211"/>
      <c r="AK38" s="211"/>
    </row>
    <row r="39" spans="1:37" s="17" customFormat="1" ht="18" customHeight="1">
      <c r="A39" s="506"/>
      <c r="C39" s="17" t="s">
        <v>295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1"/>
      <c r="AD39" s="211"/>
      <c r="AE39" s="211"/>
      <c r="AF39" s="211"/>
      <c r="AG39" s="211"/>
      <c r="AH39" s="211"/>
      <c r="AI39" s="211"/>
      <c r="AJ39" s="211"/>
      <c r="AK39" s="211"/>
    </row>
    <row r="40" spans="1:37" s="17" customFormat="1" ht="18" customHeight="1">
      <c r="A40" s="506"/>
      <c r="C40" s="17" t="s">
        <v>296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D40" s="211"/>
      <c r="AE40" s="211"/>
      <c r="AF40" s="211"/>
      <c r="AG40" s="211"/>
      <c r="AH40" s="211"/>
      <c r="AI40" s="211"/>
      <c r="AJ40" s="211"/>
      <c r="AK40" s="211"/>
    </row>
    <row r="41" spans="1:37" s="17" customFormat="1" ht="18" customHeight="1">
      <c r="A41" s="506"/>
      <c r="C41" s="17" t="s">
        <v>297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1"/>
      <c r="AD41" s="211"/>
      <c r="AE41" s="211"/>
      <c r="AF41" s="211"/>
      <c r="AG41" s="211"/>
      <c r="AH41" s="211"/>
      <c r="AI41" s="211"/>
      <c r="AJ41" s="211"/>
      <c r="AK41" s="211"/>
    </row>
    <row r="42" spans="1:37" s="17" customFormat="1" ht="18" customHeight="1">
      <c r="A42" s="506"/>
      <c r="C42" s="17" t="s">
        <v>298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1"/>
      <c r="AD42" s="211"/>
      <c r="AE42" s="211"/>
      <c r="AF42" s="211"/>
      <c r="AG42" s="211"/>
      <c r="AH42" s="211"/>
      <c r="AI42" s="211"/>
      <c r="AJ42" s="211"/>
      <c r="AK42" s="211"/>
    </row>
    <row r="43" spans="1:37" s="17" customFormat="1" ht="9.75" customHeight="1">
      <c r="A43" s="506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1"/>
      <c r="AD43" s="211"/>
      <c r="AE43" s="211"/>
      <c r="AF43" s="211"/>
      <c r="AG43" s="211"/>
      <c r="AH43" s="211"/>
      <c r="AI43" s="211"/>
      <c r="AJ43" s="211"/>
      <c r="AK43" s="211"/>
    </row>
    <row r="44" spans="1:37" s="17" customFormat="1" ht="18" customHeight="1">
      <c r="A44" s="506" t="s">
        <v>304</v>
      </c>
      <c r="C44" s="17" t="s">
        <v>413</v>
      </c>
      <c r="D44" s="210"/>
      <c r="E44" s="210"/>
      <c r="F44" s="210"/>
      <c r="G44" s="211"/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1"/>
      <c r="AD44" s="211"/>
      <c r="AE44" s="211"/>
      <c r="AF44" s="211"/>
      <c r="AG44" s="211"/>
      <c r="AH44" s="211"/>
      <c r="AI44" s="211"/>
      <c r="AJ44" s="211"/>
      <c r="AK44" s="211"/>
    </row>
    <row r="45" spans="1:37" s="17" customFormat="1" ht="9.75" customHeight="1">
      <c r="A45" s="506"/>
      <c r="D45" s="210"/>
      <c r="E45" s="210"/>
      <c r="F45" s="210"/>
      <c r="G45" s="211"/>
      <c r="H45" s="211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/>
      <c r="AD45" s="211"/>
      <c r="AE45" s="211"/>
      <c r="AF45" s="211"/>
      <c r="AG45" s="211"/>
      <c r="AH45" s="211"/>
      <c r="AI45" s="211"/>
      <c r="AJ45" s="211"/>
      <c r="AK45" s="211"/>
    </row>
    <row r="46" spans="1:37" s="17" customFormat="1" ht="18" customHeight="1">
      <c r="A46" s="506" t="s">
        <v>305</v>
      </c>
      <c r="C46" s="17" t="s">
        <v>265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1"/>
      <c r="AD46" s="211"/>
      <c r="AE46" s="211"/>
      <c r="AF46" s="211"/>
      <c r="AG46" s="211"/>
      <c r="AH46" s="211"/>
      <c r="AI46" s="211"/>
      <c r="AJ46" s="211"/>
      <c r="AK46" s="211"/>
    </row>
    <row r="47" spans="1:37" ht="9.75" customHeight="1">
      <c r="A47" s="506"/>
      <c r="B47" s="17"/>
      <c r="C47" s="17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</row>
    <row r="48" spans="1:37" ht="18" customHeight="1">
      <c r="A48" s="506" t="s">
        <v>306</v>
      </c>
      <c r="B48" s="17"/>
      <c r="C48" s="17" t="s">
        <v>266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</row>
    <row r="49" spans="1:37" ht="9.75" customHeight="1">
      <c r="A49" s="506"/>
      <c r="B49" s="17"/>
      <c r="C49" s="17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</row>
    <row r="50" spans="1:37" ht="18" customHeight="1">
      <c r="A50" s="506" t="s">
        <v>307</v>
      </c>
      <c r="B50" s="17"/>
      <c r="C50" s="17" t="s">
        <v>267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</row>
    <row r="51" spans="1:37" ht="9.75" customHeight="1">
      <c r="A51" s="506"/>
      <c r="B51" s="17"/>
      <c r="C51" s="17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</row>
    <row r="52" spans="1:37" ht="18" customHeight="1">
      <c r="A52" s="506" t="s">
        <v>308</v>
      </c>
      <c r="B52" s="17"/>
      <c r="C52" s="17" t="s">
        <v>309</v>
      </c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</row>
    <row r="53" spans="1:37" ht="15.75">
      <c r="A53" s="210"/>
      <c r="B53" s="13"/>
      <c r="C53" s="17" t="s">
        <v>310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9.75" customHeight="1">
      <c r="A54" s="210"/>
      <c r="B54" s="13"/>
      <c r="C54" s="55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9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11"/>
      <c r="V56" s="211"/>
      <c r="W56" s="211"/>
      <c r="X56" s="211"/>
      <c r="Y56" s="211"/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13"/>
      <c r="AK56" s="13"/>
    </row>
    <row r="57" spans="1:3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11"/>
      <c r="V57" s="211"/>
      <c r="W57" s="211"/>
      <c r="X57" s="211"/>
      <c r="Y57" s="211"/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13"/>
      <c r="AK57" s="13"/>
    </row>
    <row r="58" spans="1:3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510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</sheetData>
  <sheetProtection sheet="1" objects="1" scenarios="1" selectLockedCells="1"/>
  <mergeCells count="7">
    <mergeCell ref="A6:AI6"/>
    <mergeCell ref="Z56:AI56"/>
    <mergeCell ref="Z57:AI57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A1">
      <selection activeCell="A13" sqref="A13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90" t="s">
        <v>129</v>
      </c>
      <c r="F1" s="890"/>
      <c r="G1" s="890"/>
      <c r="H1" s="890"/>
      <c r="I1" s="890"/>
      <c r="J1" s="890"/>
      <c r="K1" s="890"/>
      <c r="L1" s="890"/>
      <c r="M1" s="890"/>
    </row>
    <row r="2" spans="5:13" s="203" customFormat="1" ht="21" customHeight="1">
      <c r="E2" s="891" t="str">
        <f>IF(Mannschaften!D2="","",Mannschaften!D2)</f>
        <v>Deutsche Meisterschaft der Senioren  Feld   2010</v>
      </c>
      <c r="F2" s="891"/>
      <c r="G2" s="891"/>
      <c r="H2" s="891"/>
      <c r="I2" s="891"/>
      <c r="J2" s="891"/>
      <c r="K2" s="891"/>
      <c r="L2" s="891"/>
      <c r="M2" s="891"/>
    </row>
    <row r="3" s="203" customFormat="1" ht="13.5" customHeight="1"/>
    <row r="4" spans="4:26" s="203" customFormat="1" ht="23.25" customHeight="1">
      <c r="D4" s="204"/>
      <c r="E4" s="889" t="str">
        <f>IF(Mannschaften!F4="","",Mannschaften!F4)</f>
        <v>Waghäusel</v>
      </c>
      <c r="F4" s="889"/>
      <c r="G4" s="889"/>
      <c r="H4" s="889"/>
      <c r="I4" s="185">
        <f>Mannschaften!K4</f>
        <v>40425</v>
      </c>
      <c r="J4" s="205" t="s">
        <v>112</v>
      </c>
      <c r="K4" s="185">
        <f>Mannschaften!M4</f>
        <v>40426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TSV Wiesental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892" t="s">
        <v>131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="203" customFormat="1" ht="6" customHeight="1"/>
    <row r="11" spans="6:14" s="203" customFormat="1" ht="18">
      <c r="F11" s="186" t="s">
        <v>157</v>
      </c>
      <c r="G11" s="184" t="str">
        <f>Mannschaften!H3</f>
        <v>M 45</v>
      </c>
      <c r="H11" s="186"/>
      <c r="I11" s="186" t="s">
        <v>135</v>
      </c>
      <c r="L11" s="188" t="str">
        <f>IF(Mannschaften!N3="","",Mannschaften!N3)</f>
        <v>31.12.</v>
      </c>
      <c r="M11" s="189">
        <f>IF(Mannschaften!O3="","",Mannschaften!O3)</f>
        <v>1965</v>
      </c>
      <c r="N11" s="186"/>
    </row>
    <row r="12" s="203" customFormat="1" ht="12.75"/>
    <row r="14" spans="1:3" ht="19.5" customHeight="1">
      <c r="A14" s="178" t="s">
        <v>219</v>
      </c>
      <c r="C14" s="178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ETV  Hamburg     Schneider, Uwe; Holst, Thorsten; Schulte am Hülse, Lutz; Voss, Uwe; Koth, Thorsten; Meyer-Weichelt, Volker; Vahle, Ralf; ; ;  Trainer: ; Betreuer: </v>
      </c>
    </row>
    <row r="15" spans="1:3" ht="19.5" customHeight="1">
      <c r="A15" s="178" t="s">
        <v>220</v>
      </c>
      <c r="C15" s="178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TV GH Brettorf     Steenken, Holger; Tabke, Klaus; Lange, Rainer; Schelling, Hergen; Kläner, Uwe; Kläner, Frank; Röpken, Holger; ; ;  Trainer: ; Betreuer: </v>
      </c>
    </row>
    <row r="16" spans="1:3" ht="19.5" customHeight="1">
      <c r="A16" s="178" t="s">
        <v>235</v>
      </c>
      <c r="C16" s="178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TV Dinglingen     Lilienthal, Ralf; Zehnle, Harald; Trautnitz, Hans; Nuvolin, Thomas; Müncheberg, Stefan; Kemming, Michael; ; ; ;  Trainer: ; Betreuer: Schwend, Reinhard</v>
      </c>
    </row>
    <row r="17" spans="1:3" ht="19.5" customHeight="1">
      <c r="A17" s="178" t="s">
        <v>236</v>
      </c>
      <c r="C17" s="178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TV Segnitz     Mark, Karl-Heinz; Siegler, Karlheinz; Ruhl, Hartmut; Sieber, Reinhold; Seidel, Hubert; Gernet, Siegfried; Frank, Reiner; Leipold, Gerhard; Götz, Uwe; Hoffmann, Klaus Trainer: ; Betreuer: </v>
      </c>
    </row>
    <row r="18" spans="1:3" ht="19.5" customHeight="1">
      <c r="A18" s="178" t="s">
        <v>237</v>
      </c>
      <c r="C18" s="178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MSV Buna Schkopau     Barnickel, Thomas; Martin, Torsten; Koch, Hans-Peter; Naumann, Thomas; Vogelpohl, Lutz; Reinhardt, Steffen; ; ; ;  Trainer: ; Betreuer: </v>
      </c>
    </row>
    <row r="19" ht="19.5" customHeight="1"/>
    <row r="20" spans="1:3" ht="19.5" customHeight="1">
      <c r="A20" s="178" t="s">
        <v>221</v>
      </c>
      <c r="C20" s="178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TV Klarenthal     Braun, Dietmar; Brust, Jürgen; Geibel, Peter; Haßler, Erik; Kneip, Swen; Kneip, Lutz; Utta, Frank; Wagner, Stephan; ;  Trainer: Leutheuser, Heiko; Betreuer: </v>
      </c>
    </row>
    <row r="21" spans="1:3" ht="19.5" customHeight="1">
      <c r="A21" s="178" t="s">
        <v>238</v>
      </c>
      <c r="C21" s="178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TV Wünschmichelbach     Zwinscher Bernd; Ruschka Roland; Ruschka Uwe; Kühner Kuno; Gruber Andreas; Heinle Manfred; Schollenberger Herbert; Tremmel Armin; Spiegel Dirk;   Trainer: Kühner Kuno; Betreuer: </v>
      </c>
    </row>
    <row r="22" spans="1:3" ht="19.5" customHeight="1">
      <c r="A22" s="178" t="s">
        <v>239</v>
      </c>
      <c r="C22" s="178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TSV Bayer Leverkusen     Cymera, Detlef; Schmidt, Frank; Euler, Thomas; Cymera, Rainer; Pelz, Martin; Mehle, Udo; Meller, Thomas; Theurig, Marcus; von Laufenberg, Frank;  Trainer: ; Betreuer: </v>
      </c>
    </row>
    <row r="23" spans="1:3" ht="19.5" customHeight="1">
      <c r="A23" s="178" t="s">
        <v>240</v>
      </c>
      <c r="C23" s="178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VfB Stuttgart     Junginger, Hanspeter; Welz, Michael; Fuchs, Martin; Feigl, Hans-Peter; Ulmer, Joachim; Kopplin, Klaus; Bürkle, Stefan; Göck, Sepp-Dieter; ;  Trainer: ; Betreuer: </v>
      </c>
    </row>
    <row r="24" spans="1:3" ht="19.5" customHeight="1">
      <c r="A24" s="178" t="s">
        <v>241</v>
      </c>
      <c r="C24" s="178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SG Stern Kaulsdorf     Großer Andre´; Marsch Thomas; Kammer Dietmar; Büchholz Norbert; Frenzel, Heiko; Hrudzik, Ralf; Marsch, Andre´; Köhn, Hartmut; Schneider, Frank;  Trainer: ; Betreuer: Gressner, Thomas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1"/>
  <sheetViews>
    <sheetView zoomScalePageLayoutView="0" workbookViewId="0" topLeftCell="A12">
      <selection activeCell="D12" sqref="D12:D2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40" t="s">
        <v>129</v>
      </c>
      <c r="C1" s="640"/>
      <c r="D1" s="640"/>
      <c r="E1" s="640"/>
      <c r="F1" s="640"/>
      <c r="G1" s="640"/>
    </row>
    <row r="2" ht="15" customHeight="1"/>
    <row r="3" ht="15" customHeight="1"/>
    <row r="4" ht="15" customHeight="1"/>
    <row r="5" spans="1:8" ht="20.25">
      <c r="A5" s="1043" t="str">
        <f>IF(Mannschaften!D2="","",Mannschaften!D2)</f>
        <v>Deutsche Meisterschaft der Senioren  Feld   2010</v>
      </c>
      <c r="B5" s="1043"/>
      <c r="C5" s="1043"/>
      <c r="D5" s="1043"/>
      <c r="E5" s="1043"/>
      <c r="F5" s="1043"/>
      <c r="G5" s="1043"/>
      <c r="H5" s="1043"/>
    </row>
    <row r="6" ht="18.75" customHeight="1"/>
    <row r="7" spans="1:6" ht="30" customHeight="1">
      <c r="A7" s="1044" t="str">
        <f>IF(Mannschaften!F4="","",Mannschaften!F4)</f>
        <v>Waghäusel</v>
      </c>
      <c r="B7" s="1044"/>
      <c r="C7" s="17"/>
      <c r="D7" s="218">
        <f>Mannschaften!K4</f>
        <v>40425</v>
      </c>
      <c r="E7" s="6" t="s">
        <v>112</v>
      </c>
      <c r="F7" s="31">
        <f>Mannschaften!M4</f>
        <v>40426</v>
      </c>
    </row>
    <row r="8" spans="1:4" ht="30" customHeight="1">
      <c r="A8" s="643" t="str">
        <f>Mannschaften!A5</f>
        <v>Ausrichter:     </v>
      </c>
      <c r="B8" s="643"/>
      <c r="C8" s="643"/>
      <c r="D8" s="26" t="str">
        <f>IF(Mannschaften!I5="","",Mannschaften!I5)</f>
        <v>TSV Wiesental</v>
      </c>
    </row>
    <row r="9" ht="30" customHeight="1"/>
    <row r="10" spans="1:8" ht="30" customHeight="1">
      <c r="A10" s="1041" t="s">
        <v>80</v>
      </c>
      <c r="B10" s="1041"/>
      <c r="C10" s="1041"/>
      <c r="D10" s="1041"/>
      <c r="E10" s="68"/>
      <c r="F10" s="1042" t="str">
        <f>Mannschaften!H3</f>
        <v>M 45</v>
      </c>
      <c r="G10" s="1042"/>
      <c r="H10" s="1042"/>
    </row>
    <row r="11" ht="30" customHeight="1"/>
    <row r="12" spans="2:4" ht="30" customHeight="1">
      <c r="B12" s="221" t="s">
        <v>215</v>
      </c>
      <c r="D12" s="8" t="str">
        <f>IF('Spielplan-So'!AK38="","",IF('Spielplan-So'!AK38=2,'Spielplan-So'!E38,'Spielplan-So'!G38))</f>
        <v>ETV  Hamburg</v>
      </c>
    </row>
    <row r="13" spans="1:4" ht="30" customHeight="1">
      <c r="A13" s="219"/>
      <c r="B13" s="222" t="s">
        <v>194</v>
      </c>
      <c r="C13" s="219"/>
      <c r="D13" s="220" t="str">
        <f>IF('Spielplan-So'!AK38="","",IF('Spielplan-So'!AK38=2,'Spielplan-So'!G38,'Spielplan-So'!E38))</f>
        <v>TV Klarenthal</v>
      </c>
    </row>
    <row r="14" spans="1:4" ht="30" customHeight="1">
      <c r="A14" s="219"/>
      <c r="B14" s="223" t="s">
        <v>195</v>
      </c>
      <c r="C14" s="219"/>
      <c r="D14" s="220" t="str">
        <f>IF('Spielplan-So'!AK36="","",IF('Spielplan-So'!AK36=2,'Spielplan-So'!E36,'Spielplan-So'!G36))</f>
        <v>TSV Bayer Leverkusen</v>
      </c>
    </row>
    <row r="15" spans="2:4" ht="30" customHeight="1">
      <c r="B15" s="7" t="s">
        <v>196</v>
      </c>
      <c r="D15" s="7" t="str">
        <f>IF('Spielplan-So'!AK36="","",IF('Spielplan-So'!AK36=2,'Spielplan-So'!G36,'Spielplan-So'!E36))</f>
        <v>TV Segnitz</v>
      </c>
    </row>
    <row r="16" spans="2:4" ht="30" customHeight="1">
      <c r="B16" s="7" t="s">
        <v>197</v>
      </c>
      <c r="D16" s="7" t="str">
        <f>IF('Spielplan-So'!AK34="","",IF('Spielplan-So'!AK34=2,'Spielplan-So'!E34,'Spielplan-So'!G34))</f>
        <v>TV Dinglingen</v>
      </c>
    </row>
    <row r="17" spans="2:4" ht="30" customHeight="1">
      <c r="B17" s="7" t="s">
        <v>198</v>
      </c>
      <c r="D17" s="7" t="str">
        <f>IF('Spielplan-So'!AK34="","",IF('Spielplan-So'!AK34=2,'Spielplan-So'!G34,'Spielplan-So'!E34))</f>
        <v>TV Wünschmichelbach</v>
      </c>
    </row>
    <row r="18" spans="2:4" ht="30" customHeight="1">
      <c r="B18" s="6" t="s">
        <v>199</v>
      </c>
      <c r="D18" s="6" t="str">
        <f>IF('Spielplan-So'!AK28="","",IF('Spielplan-So'!AK28=2,'Spielplan-So'!E28,'Spielplan-So'!G28))</f>
        <v>TV GH Brettorf</v>
      </c>
    </row>
    <row r="19" spans="2:4" ht="30" customHeight="1">
      <c r="B19" s="6" t="s">
        <v>200</v>
      </c>
      <c r="D19" s="6" t="str">
        <f>IF('Spielplan-So'!AK28="","",IF('Spielplan-So'!AK28=2,'Spielplan-So'!G28,'Spielplan-So'!E28))</f>
        <v>VfB Stuttgart</v>
      </c>
    </row>
    <row r="20" spans="2:4" ht="30" customHeight="1">
      <c r="B20" s="6" t="s">
        <v>201</v>
      </c>
      <c r="D20" s="6" t="str">
        <f>IF('Spielplan-So'!AK26="","",IF('Spielplan-So'!AK26=2,'Spielplan-So'!E26,'Spielplan-So'!G26))</f>
        <v>MSV Buna Schkopau</v>
      </c>
    </row>
    <row r="21" spans="2:4" ht="30" customHeight="1">
      <c r="B21" s="6" t="s">
        <v>79</v>
      </c>
      <c r="D21" s="6" t="str">
        <f>IF('Spielplan-So'!AK26="","",IF('Spielplan-So'!AK26=2,'Spielplan-So'!G26,'Spielplan-So'!E26))</f>
        <v>SG Stern Kaulsdorf</v>
      </c>
    </row>
    <row r="22" ht="19.5" customHeight="1"/>
  </sheetData>
  <sheetProtection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1">
      <selection activeCell="J13" sqref="J1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40" t="s">
        <v>129</v>
      </c>
      <c r="C1" s="640"/>
      <c r="D1" s="640"/>
      <c r="E1" s="640"/>
      <c r="F1" s="640"/>
      <c r="G1" s="640"/>
    </row>
    <row r="2" ht="15" customHeight="1"/>
    <row r="3" ht="15" customHeight="1"/>
    <row r="4" spans="1:8" ht="20.25">
      <c r="A4" s="1043" t="str">
        <f>IF(Mannschaften!D2="","",Mannschaften!D2)</f>
        <v>Deutsche Meisterschaft der Senioren  Feld   2010</v>
      </c>
      <c r="B4" s="1043"/>
      <c r="C4" s="1043"/>
      <c r="D4" s="1043"/>
      <c r="E4" s="1043"/>
      <c r="F4" s="1043"/>
      <c r="G4" s="1043"/>
      <c r="H4" s="1043"/>
    </row>
    <row r="5" spans="4:6" ht="20.25" customHeight="1">
      <c r="D5" s="1" t="str">
        <f>Mannschaften!H3</f>
        <v>M 45</v>
      </c>
      <c r="E5" s="217"/>
      <c r="F5" s="217"/>
    </row>
    <row r="6" spans="1:6" ht="20.25">
      <c r="A6" s="1044" t="str">
        <f>IF(Mannschaften!F4="","",Mannschaften!F4)</f>
        <v>Waghäusel</v>
      </c>
      <c r="B6" s="1044"/>
      <c r="C6" s="17"/>
      <c r="D6" s="218">
        <f>Mannschaften!K4</f>
        <v>40425</v>
      </c>
      <c r="E6" s="6" t="s">
        <v>112</v>
      </c>
      <c r="F6" s="31">
        <f>Mannschaften!M4</f>
        <v>40426</v>
      </c>
    </row>
    <row r="7" spans="1:4" ht="20.25">
      <c r="A7" s="1043" t="str">
        <f>Mannschaften!A5</f>
        <v>Ausrichter:     </v>
      </c>
      <c r="B7" s="1043"/>
      <c r="C7" s="1043"/>
      <c r="D7" s="6" t="str">
        <f>IF(Mannschaften!I5="","",Mannschaften!I5)</f>
        <v>TSV Wiesental</v>
      </c>
    </row>
    <row r="8" spans="1:4" ht="6" customHeight="1">
      <c r="A8" s="213"/>
      <c r="B8" s="213"/>
      <c r="C8" s="213"/>
      <c r="D8" s="26"/>
    </row>
    <row r="9" spans="1:8" ht="30" customHeight="1">
      <c r="A9" s="1043" t="s">
        <v>216</v>
      </c>
      <c r="B9" s="1043"/>
      <c r="C9" s="1043"/>
      <c r="D9" s="1043"/>
      <c r="E9" s="1043"/>
      <c r="F9" s="1043"/>
      <c r="G9" s="1043"/>
      <c r="H9" s="104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1">
      <selection activeCell="D2" sqref="D2:P2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7" width="4.7109375" style="23" customWidth="1"/>
    <col min="8" max="8" width="16.7109375" style="0" customWidth="1"/>
    <col min="9" max="10" width="4.7109375" style="23" customWidth="1"/>
    <col min="11" max="11" width="16.7109375" style="0" customWidth="1"/>
    <col min="12" max="13" width="4.7109375" style="23" customWidth="1"/>
    <col min="14" max="14" width="16.7109375" style="0" customWidth="1"/>
    <col min="15" max="16" width="4.7109375" style="23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203" customFormat="1" ht="27" customHeight="1">
      <c r="B1" s="224"/>
      <c r="C1" s="225"/>
      <c r="D1" s="618" t="s">
        <v>129</v>
      </c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R1" s="224"/>
      <c r="S1" s="224"/>
      <c r="T1" s="226"/>
      <c r="U1" s="224"/>
      <c r="V1" s="224"/>
      <c r="W1" s="226"/>
      <c r="X1" s="224"/>
      <c r="Y1" s="224"/>
      <c r="Z1" s="226"/>
      <c r="AA1" s="224"/>
      <c r="AB1" s="224"/>
      <c r="AC1" s="226"/>
      <c r="AD1" s="224"/>
      <c r="AE1" s="224"/>
      <c r="AF1" s="226"/>
    </row>
    <row r="2" spans="4:34" s="203" customFormat="1" ht="23.25" customHeight="1">
      <c r="D2" s="624" t="s">
        <v>283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R2" s="227"/>
      <c r="S2" s="227"/>
      <c r="T2" s="226"/>
      <c r="U2" s="224"/>
      <c r="V2" s="224"/>
      <c r="W2" s="226"/>
      <c r="X2" s="224"/>
      <c r="Y2" s="224"/>
      <c r="Z2" s="226"/>
      <c r="AA2" s="224"/>
      <c r="AB2" s="224"/>
      <c r="AC2" s="226"/>
      <c r="AD2" s="224"/>
      <c r="AE2" s="224"/>
      <c r="AF2" s="226"/>
      <c r="AG2" s="226" t="s">
        <v>141</v>
      </c>
      <c r="AH2" s="226"/>
    </row>
    <row r="3" spans="4:36" s="203" customFormat="1" ht="15.75" customHeight="1">
      <c r="D3" s="228"/>
      <c r="E3" s="616" t="s">
        <v>157</v>
      </c>
      <c r="F3" s="616"/>
      <c r="G3" s="616"/>
      <c r="H3" s="263" t="s">
        <v>191</v>
      </c>
      <c r="I3" s="178"/>
      <c r="K3" s="204" t="s">
        <v>130</v>
      </c>
      <c r="N3" s="157" t="str">
        <f>IF(N174=0,Q175,N175)</f>
        <v>31.12.</v>
      </c>
      <c r="O3" s="617">
        <f>IF(N174=0,Q174,N174)</f>
        <v>1965</v>
      </c>
      <c r="P3" s="617"/>
      <c r="R3" s="227"/>
      <c r="S3" s="227"/>
      <c r="T3" s="226"/>
      <c r="U3" s="224"/>
      <c r="V3" s="224"/>
      <c r="W3" s="226"/>
      <c r="X3" s="224"/>
      <c r="Y3" s="224"/>
      <c r="Z3" s="226"/>
      <c r="AA3" s="224"/>
      <c r="AB3" s="224"/>
      <c r="AC3" s="226"/>
      <c r="AD3" s="224"/>
      <c r="AE3" s="224"/>
      <c r="AF3" s="226"/>
      <c r="AG3" s="226" t="s">
        <v>142</v>
      </c>
      <c r="AH3" s="226"/>
      <c r="AI3" s="226"/>
      <c r="AJ3" s="226"/>
    </row>
    <row r="4" spans="6:35" s="203" customFormat="1" ht="18" customHeight="1">
      <c r="F4" s="619" t="s">
        <v>284</v>
      </c>
      <c r="G4" s="619"/>
      <c r="H4" s="619"/>
      <c r="I4" s="229"/>
      <c r="J4" s="230"/>
      <c r="K4" s="95">
        <v>40425</v>
      </c>
      <c r="L4" s="231" t="s">
        <v>112</v>
      </c>
      <c r="M4" s="620">
        <f>IF(K4="Dat 1.Tg","Dat 2.Tg",K4+1)</f>
        <v>40426</v>
      </c>
      <c r="N4" s="620"/>
      <c r="R4" s="227"/>
      <c r="S4" s="227"/>
      <c r="T4" s="226"/>
      <c r="U4" s="224"/>
      <c r="V4" s="224"/>
      <c r="W4" s="226"/>
      <c r="X4" s="224"/>
      <c r="Y4" s="224"/>
      <c r="Z4" s="226"/>
      <c r="AA4" s="224"/>
      <c r="AB4" s="224"/>
      <c r="AC4" s="226"/>
      <c r="AD4" s="224"/>
      <c r="AE4" s="224"/>
      <c r="AF4" s="226"/>
      <c r="AG4" s="226" t="s">
        <v>143</v>
      </c>
      <c r="AH4" s="226"/>
      <c r="AI4" s="226"/>
    </row>
    <row r="5" spans="1:34" s="203" customFormat="1" ht="18" customHeight="1">
      <c r="A5" s="638" t="s">
        <v>121</v>
      </c>
      <c r="B5" s="638"/>
      <c r="C5" s="638"/>
      <c r="D5" s="638"/>
      <c r="E5" s="638"/>
      <c r="F5" s="638"/>
      <c r="G5" s="638"/>
      <c r="H5" s="638"/>
      <c r="I5" s="619" t="s">
        <v>285</v>
      </c>
      <c r="J5" s="619"/>
      <c r="K5" s="619"/>
      <c r="L5" s="619"/>
      <c r="M5" s="619"/>
      <c r="R5" s="227"/>
      <c r="S5" s="227"/>
      <c r="T5" s="226"/>
      <c r="U5" s="224"/>
      <c r="V5" s="224"/>
      <c r="W5" s="226"/>
      <c r="X5" s="224"/>
      <c r="Y5" s="224"/>
      <c r="Z5" s="226"/>
      <c r="AA5" s="224"/>
      <c r="AB5" s="224"/>
      <c r="AC5" s="226"/>
      <c r="AD5" s="224"/>
      <c r="AE5" s="224"/>
      <c r="AF5" s="226"/>
      <c r="AG5" s="226" t="s">
        <v>144</v>
      </c>
      <c r="AH5" s="226"/>
    </row>
    <row r="6" spans="1:32" s="203" customFormat="1" ht="18" customHeight="1">
      <c r="A6" s="634" t="s">
        <v>81</v>
      </c>
      <c r="B6" s="634"/>
      <c r="C6" s="634"/>
      <c r="D6" s="634"/>
      <c r="E6" s="634"/>
      <c r="F6" s="635"/>
      <c r="G6" s="635"/>
      <c r="H6" s="634"/>
      <c r="I6" s="635"/>
      <c r="J6" s="635"/>
      <c r="K6" s="634"/>
      <c r="L6" s="635"/>
      <c r="M6" s="635"/>
      <c r="N6" s="634"/>
      <c r="O6" s="635"/>
      <c r="P6" s="635"/>
      <c r="Q6" s="634"/>
      <c r="R6" s="232"/>
      <c r="S6" s="232"/>
      <c r="T6" s="226"/>
      <c r="U6" s="224"/>
      <c r="V6" s="224"/>
      <c r="W6" s="226"/>
      <c r="X6" s="224"/>
      <c r="Y6" s="224"/>
      <c r="Z6" s="226"/>
      <c r="AA6" s="224"/>
      <c r="AB6" s="224"/>
      <c r="AC6" s="226"/>
      <c r="AD6" s="224"/>
      <c r="AE6" s="224"/>
      <c r="AF6" s="226"/>
    </row>
    <row r="7" spans="1:32" s="203" customFormat="1" ht="15" customHeight="1" thickBot="1">
      <c r="A7" s="636" t="s">
        <v>5</v>
      </c>
      <c r="B7" s="636"/>
      <c r="C7" s="636"/>
      <c r="D7" s="636"/>
      <c r="E7" s="636"/>
      <c r="F7" s="637"/>
      <c r="G7" s="637"/>
      <c r="H7" s="636"/>
      <c r="I7" s="637"/>
      <c r="J7" s="637"/>
      <c r="K7" s="636"/>
      <c r="L7" s="637"/>
      <c r="M7" s="637"/>
      <c r="N7" s="636"/>
      <c r="O7" s="637"/>
      <c r="P7" s="637"/>
      <c r="Q7" s="636"/>
      <c r="R7" s="233"/>
      <c r="S7" s="233"/>
      <c r="T7" s="226"/>
      <c r="U7" s="224"/>
      <c r="V7" s="224"/>
      <c r="W7" s="226"/>
      <c r="X7" s="224"/>
      <c r="Y7" s="224"/>
      <c r="Z7" s="226"/>
      <c r="AA7" s="224"/>
      <c r="AB7" s="224"/>
      <c r="AC7" s="226"/>
      <c r="AD7" s="224"/>
      <c r="AE7" s="224"/>
      <c r="AF7" s="226"/>
    </row>
    <row r="8" spans="1:32" s="230" customFormat="1" ht="12.75" customHeight="1" thickBot="1" thickTop="1">
      <c r="A8" s="631" t="s">
        <v>105</v>
      </c>
      <c r="B8" s="234"/>
      <c r="C8" s="625" t="s">
        <v>105</v>
      </c>
      <c r="D8" s="626"/>
      <c r="E8" s="627"/>
      <c r="F8" s="625" t="s">
        <v>105</v>
      </c>
      <c r="G8" s="626"/>
      <c r="H8" s="627"/>
      <c r="I8" s="625" t="s">
        <v>105</v>
      </c>
      <c r="J8" s="626"/>
      <c r="K8" s="627"/>
      <c r="L8" s="625" t="s">
        <v>105</v>
      </c>
      <c r="M8" s="626"/>
      <c r="N8" s="627"/>
      <c r="O8" s="625" t="s">
        <v>105</v>
      </c>
      <c r="P8" s="626"/>
      <c r="Q8" s="627"/>
      <c r="R8" s="233"/>
      <c r="S8" s="233"/>
      <c r="T8" s="226"/>
      <c r="U8" s="224"/>
      <c r="V8" s="224"/>
      <c r="W8" s="226"/>
      <c r="X8" s="224"/>
      <c r="Y8" s="224"/>
      <c r="Z8" s="226"/>
      <c r="AA8" s="224"/>
      <c r="AB8" s="224"/>
      <c r="AC8" s="226"/>
      <c r="AD8" s="224"/>
      <c r="AE8" s="224"/>
      <c r="AF8" s="226"/>
    </row>
    <row r="9" spans="1:34" s="230" customFormat="1" ht="12.75" customHeight="1" thickTop="1">
      <c r="A9" s="632"/>
      <c r="B9" s="235"/>
      <c r="C9" s="645" t="s">
        <v>312</v>
      </c>
      <c r="D9" s="646"/>
      <c r="E9" s="647"/>
      <c r="F9" s="645" t="s">
        <v>313</v>
      </c>
      <c r="G9" s="646"/>
      <c r="H9" s="647"/>
      <c r="I9" s="645" t="s">
        <v>314</v>
      </c>
      <c r="J9" s="646"/>
      <c r="K9" s="647"/>
      <c r="L9" s="645" t="s">
        <v>315</v>
      </c>
      <c r="M9" s="646"/>
      <c r="N9" s="647"/>
      <c r="O9" s="645" t="s">
        <v>316</v>
      </c>
      <c r="P9" s="646"/>
      <c r="Q9" s="647"/>
      <c r="R9" s="233"/>
      <c r="S9" s="233"/>
      <c r="T9" s="226"/>
      <c r="U9" s="224"/>
      <c r="V9" s="224"/>
      <c r="W9" s="226"/>
      <c r="X9" s="224"/>
      <c r="Y9" s="224"/>
      <c r="Z9" s="226"/>
      <c r="AA9" s="224"/>
      <c r="AB9" s="224"/>
      <c r="AC9" s="226"/>
      <c r="AD9" s="224"/>
      <c r="AE9" s="224"/>
      <c r="AF9" s="226"/>
      <c r="AG9" s="226" t="s">
        <v>122</v>
      </c>
      <c r="AH9" s="226"/>
    </row>
    <row r="10" spans="1:34" s="203" customFormat="1" ht="12.75" customHeight="1" thickBot="1">
      <c r="A10" s="633"/>
      <c r="B10" s="236"/>
      <c r="C10" s="651" t="s">
        <v>387</v>
      </c>
      <c r="D10" s="652"/>
      <c r="E10" s="639"/>
      <c r="F10" s="651" t="s">
        <v>404</v>
      </c>
      <c r="G10" s="652"/>
      <c r="H10" s="639"/>
      <c r="I10" s="651" t="s">
        <v>352</v>
      </c>
      <c r="J10" s="652"/>
      <c r="K10" s="639"/>
      <c r="L10" s="651" t="s">
        <v>350</v>
      </c>
      <c r="M10" s="652"/>
      <c r="N10" s="639"/>
      <c r="O10" s="651" t="s">
        <v>320</v>
      </c>
      <c r="P10" s="652"/>
      <c r="Q10" s="639"/>
      <c r="R10" s="203" t="str">
        <f>C145</f>
        <v>TV Klarenthal</v>
      </c>
      <c r="U10" s="203" t="str">
        <f>F145</f>
        <v>TV Wünschmichelbach</v>
      </c>
      <c r="X10" s="203" t="str">
        <f>I145</f>
        <v>TSV Bayer Leverkusen</v>
      </c>
      <c r="AA10" s="203" t="str">
        <f>L145</f>
        <v>VfB Stuttgart</v>
      </c>
      <c r="AD10" s="623" t="str">
        <f>O145</f>
        <v>SG Stern Kaulsdorf</v>
      </c>
      <c r="AE10" s="623"/>
      <c r="AF10" s="623"/>
      <c r="AG10" s="226" t="s">
        <v>105</v>
      </c>
      <c r="AH10" s="226"/>
    </row>
    <row r="11" spans="1:32" s="230" customFormat="1" ht="12.75" customHeight="1" thickBot="1" thickTop="1">
      <c r="A11" s="630" t="s">
        <v>38</v>
      </c>
      <c r="B11" s="237"/>
      <c r="C11" s="175" t="s">
        <v>109</v>
      </c>
      <c r="D11" s="176" t="s">
        <v>18</v>
      </c>
      <c r="E11" s="177" t="s">
        <v>110</v>
      </c>
      <c r="F11" s="175" t="s">
        <v>109</v>
      </c>
      <c r="G11" s="176" t="s">
        <v>18</v>
      </c>
      <c r="H11" s="177" t="s">
        <v>110</v>
      </c>
      <c r="I11" s="175" t="s">
        <v>109</v>
      </c>
      <c r="J11" s="176" t="s">
        <v>18</v>
      </c>
      <c r="K11" s="177" t="s">
        <v>110</v>
      </c>
      <c r="L11" s="175" t="s">
        <v>109</v>
      </c>
      <c r="M11" s="176" t="s">
        <v>18</v>
      </c>
      <c r="N11" s="177" t="s">
        <v>110</v>
      </c>
      <c r="O11" s="175" t="s">
        <v>109</v>
      </c>
      <c r="P11" s="176" t="s">
        <v>18</v>
      </c>
      <c r="Q11" s="177" t="s">
        <v>110</v>
      </c>
      <c r="AD11" s="238"/>
      <c r="AE11" s="238"/>
      <c r="AF11" s="238"/>
    </row>
    <row r="12" spans="1:31" s="224" customFormat="1" ht="12.75" customHeight="1" hidden="1" thickBot="1">
      <c r="A12" s="621"/>
      <c r="B12" s="239"/>
      <c r="C12" s="240">
        <v>10</v>
      </c>
      <c r="D12" s="240"/>
      <c r="E12" s="241"/>
      <c r="F12" s="240">
        <v>22</v>
      </c>
      <c r="G12" s="240"/>
      <c r="H12" s="241"/>
      <c r="I12" s="240">
        <v>34</v>
      </c>
      <c r="J12" s="240"/>
      <c r="K12" s="241"/>
      <c r="L12" s="240">
        <v>46</v>
      </c>
      <c r="M12" s="240"/>
      <c r="N12" s="241"/>
      <c r="O12" s="240">
        <v>58</v>
      </c>
      <c r="P12" s="240"/>
      <c r="Q12" s="241"/>
      <c r="R12" s="233">
        <v>70</v>
      </c>
      <c r="S12" s="233"/>
      <c r="U12" s="233">
        <v>82</v>
      </c>
      <c r="V12" s="233"/>
      <c r="X12" s="233">
        <v>94</v>
      </c>
      <c r="Y12" s="233"/>
      <c r="AA12" s="233">
        <v>106</v>
      </c>
      <c r="AB12" s="233"/>
      <c r="AD12" s="233">
        <v>118</v>
      </c>
      <c r="AE12" s="233"/>
    </row>
    <row r="13" spans="1:32" s="203" customFormat="1" ht="12.75" customHeight="1">
      <c r="A13" s="621"/>
      <c r="B13" s="242">
        <v>10</v>
      </c>
      <c r="C13" s="158">
        <f>IF('Spielereinsatzliste A1'!B15="","",'Spielereinsatzliste A1'!B15)</f>
      </c>
      <c r="D13" s="159" t="str">
        <f>IF('Spielereinsatzliste A1'!C15="","",'Spielereinsatzliste A1'!C15)</f>
        <v>X</v>
      </c>
      <c r="E13" s="160" t="str">
        <f>IF('Spielereinsatzliste A1'!D15="","",'Spielereinsatzliste A1'!D15)</f>
        <v>Schneider, Uwe</v>
      </c>
      <c r="F13" s="158">
        <f>IF('Spielereinsatzliste A2'!B15="","",'Spielereinsatzliste A2'!B15)</f>
      </c>
      <c r="G13" s="159">
        <f>IF('Spielereinsatzliste A2'!C15="","",'Spielereinsatzliste A2'!C15)</f>
      </c>
      <c r="H13" s="160" t="str">
        <f>IF('Spielereinsatzliste A2'!D15="","",'Spielereinsatzliste A2'!D15)</f>
        <v>Steenken, Holger</v>
      </c>
      <c r="I13" s="158">
        <f>IF('Spielereinsatzliste A3'!B15="","",'Spielereinsatzliste A3'!B15)</f>
        <v>5</v>
      </c>
      <c r="J13" s="159" t="str">
        <f>IF('Spielereinsatzliste A3'!C15="","",'Spielereinsatzliste A3'!C15)</f>
        <v>X</v>
      </c>
      <c r="K13" s="161" t="str">
        <f>IF('Spielereinsatzliste A3'!D15="","",'Spielereinsatzliste A3'!D15)</f>
        <v>Lilienthal, Ralf</v>
      </c>
      <c r="L13" s="158">
        <f>IF('Spielereinsatzliste A4'!B15="","",'Spielereinsatzliste A4'!B15)</f>
      </c>
      <c r="M13" s="159">
        <f>IF('Spielereinsatzliste A4'!C15="","",'Spielereinsatzliste A4'!C15)</f>
      </c>
      <c r="N13" s="160" t="str">
        <f>IF('Spielereinsatzliste A4'!D15="","",'Spielereinsatzliste A4'!D15)</f>
        <v>Mark, Karl-Heinz</v>
      </c>
      <c r="O13" s="158">
        <f>IF('Spielereinsatzliste A5'!B15="","",'Spielereinsatzliste A5'!B15)</f>
      </c>
      <c r="P13" s="159">
        <f>IF('Spielereinsatzliste A5'!C15="","",'Spielereinsatzliste A5'!C15)</f>
      </c>
      <c r="Q13" s="160" t="str">
        <f>IF('Spielereinsatzliste A5'!D15="","",'Spielereinsatzliste A5'!D15)</f>
        <v>Barnickel, Thomas</v>
      </c>
      <c r="R13" s="243">
        <f aca="true" t="shared" si="0" ref="R13:Z13">C147</f>
      </c>
      <c r="S13" s="243">
        <f t="shared" si="0"/>
      </c>
      <c r="T13" s="243" t="str">
        <f t="shared" si="0"/>
        <v>Braun, Dietmar</v>
      </c>
      <c r="U13" s="243">
        <f t="shared" si="0"/>
      </c>
      <c r="V13" s="243">
        <f t="shared" si="0"/>
      </c>
      <c r="W13" s="243" t="str">
        <f t="shared" si="0"/>
        <v>Zwinscher Bernd</v>
      </c>
      <c r="X13" s="243">
        <f t="shared" si="0"/>
      </c>
      <c r="Y13" s="243">
        <f t="shared" si="0"/>
      </c>
      <c r="Z13" s="243" t="str">
        <f t="shared" si="0"/>
        <v>Cymera, Detlef</v>
      </c>
      <c r="AA13" s="243">
        <f aca="true" t="shared" si="1" ref="AA13:AF13">L147</f>
        <v>1</v>
      </c>
      <c r="AB13" s="243" t="str">
        <f t="shared" si="1"/>
        <v>X</v>
      </c>
      <c r="AC13" s="243" t="str">
        <f t="shared" si="1"/>
        <v>Junginger, Hanspeter</v>
      </c>
      <c r="AD13" s="243">
        <f t="shared" si="1"/>
      </c>
      <c r="AE13" s="243" t="str">
        <f t="shared" si="1"/>
        <v>X</v>
      </c>
      <c r="AF13" s="243" t="str">
        <f t="shared" si="1"/>
        <v>Großer Andre´</v>
      </c>
    </row>
    <row r="14" spans="1:34" s="203" customFormat="1" ht="12.75" customHeight="1" thickBot="1">
      <c r="A14" s="621"/>
      <c r="B14" s="244">
        <v>11</v>
      </c>
      <c r="C14" s="162">
        <f>IF('Spielereinsatzliste A1'!B16="","",'Spielereinsatzliste A1'!B16)</f>
      </c>
      <c r="D14" s="163">
        <f>IF('Spielereinsatzliste A1'!C16="","",'Spielereinsatzliste A1'!C16)</f>
      </c>
      <c r="E14" s="161" t="str">
        <f>IF('Spielereinsatzliste A1'!D16="","",'Spielereinsatzliste A1'!D16)</f>
        <v>Holst, Thorsten</v>
      </c>
      <c r="F14" s="162">
        <f>IF('Spielereinsatzliste A2'!B16="","",'Spielereinsatzliste A2'!B16)</f>
      </c>
      <c r="G14" s="163">
        <f>IF('Spielereinsatzliste A2'!C16="","",'Spielereinsatzliste A2'!C16)</f>
      </c>
      <c r="H14" s="161" t="str">
        <f>IF('Spielereinsatzliste A2'!D16="","",'Spielereinsatzliste A2'!D16)</f>
        <v>Tabke, Klaus</v>
      </c>
      <c r="I14" s="162">
        <f>IF('Spielereinsatzliste A3'!B16="","",'Spielereinsatzliste A3'!B16)</f>
        <v>7</v>
      </c>
      <c r="J14" s="163">
        <f>IF('Spielereinsatzliste A3'!C16="","",'Spielereinsatzliste A3'!C16)</f>
      </c>
      <c r="K14" s="161" t="str">
        <f>IF('Spielereinsatzliste A3'!D16="","",'Spielereinsatzliste A3'!D16)</f>
        <v>Zehnle, Harald</v>
      </c>
      <c r="L14" s="162">
        <f>IF('Spielereinsatzliste A4'!B16="","",'Spielereinsatzliste A4'!B16)</f>
      </c>
      <c r="M14" s="163">
        <f>IF('Spielereinsatzliste A4'!C16="","",'Spielereinsatzliste A4'!C16)</f>
      </c>
      <c r="N14" s="161" t="str">
        <f>IF('Spielereinsatzliste A4'!D16="","",'Spielereinsatzliste A4'!D16)</f>
        <v>Siegler, Karlheinz</v>
      </c>
      <c r="O14" s="162">
        <f>IF('Spielereinsatzliste A5'!B16="","",'Spielereinsatzliste A5'!B16)</f>
      </c>
      <c r="P14" s="163">
        <f>IF('Spielereinsatzliste A5'!C16="","",'Spielereinsatzliste A5'!C16)</f>
      </c>
      <c r="Q14" s="161" t="str">
        <f>IF('Spielereinsatzliste A5'!D16="","",'Spielereinsatzliste A5'!D16)</f>
        <v>Martin, Torsten</v>
      </c>
      <c r="R14" s="243">
        <f aca="true" t="shared" si="2" ref="R14:R24">C148</f>
      </c>
      <c r="S14" s="243">
        <f aca="true" t="shared" si="3" ref="S14:S24">D148</f>
      </c>
      <c r="T14" s="243" t="str">
        <f aca="true" t="shared" si="4" ref="T14:T24">E148</f>
        <v>Brust, Jürgen</v>
      </c>
      <c r="U14" s="243">
        <f aca="true" t="shared" si="5" ref="U14:U24">F148</f>
      </c>
      <c r="V14" s="243">
        <f aca="true" t="shared" si="6" ref="V14:V24">G148</f>
      </c>
      <c r="W14" s="243" t="str">
        <f aca="true" t="shared" si="7" ref="W14:W24">H148</f>
        <v>Ruschka Roland</v>
      </c>
      <c r="X14" s="243">
        <f aca="true" t="shared" si="8" ref="X14:X24">I148</f>
        <v>11</v>
      </c>
      <c r="Y14" s="243">
        <f aca="true" t="shared" si="9" ref="Y14:Y24">J148</f>
      </c>
      <c r="Z14" s="243" t="str">
        <f aca="true" t="shared" si="10" ref="Z14:Z24">K148</f>
        <v>Schmidt, Frank</v>
      </c>
      <c r="AA14" s="243">
        <f aca="true" t="shared" si="11" ref="AA14:AA24">L148</f>
        <v>2</v>
      </c>
      <c r="AB14" s="243">
        <f aca="true" t="shared" si="12" ref="AB14:AB24">M148</f>
      </c>
      <c r="AC14" s="243" t="str">
        <f aca="true" t="shared" si="13" ref="AC14:AC24">N148</f>
        <v>Welz, Michael</v>
      </c>
      <c r="AD14" s="243">
        <f aca="true" t="shared" si="14" ref="AD14:AD24">O148</f>
      </c>
      <c r="AE14" s="243">
        <f aca="true" t="shared" si="15" ref="AE14:AE24">P148</f>
      </c>
      <c r="AF14" s="243" t="str">
        <f aca="true" t="shared" si="16" ref="AF14:AF24">Q148</f>
        <v>Marsch Thomas</v>
      </c>
      <c r="AG14" s="245" t="s">
        <v>123</v>
      </c>
      <c r="AH14" s="245"/>
    </row>
    <row r="15" spans="1:34" s="203" customFormat="1" ht="12.75" customHeight="1">
      <c r="A15" s="621"/>
      <c r="B15" s="242">
        <v>12</v>
      </c>
      <c r="C15" s="162">
        <f>IF('Spielereinsatzliste A1'!B17="","",'Spielereinsatzliste A1'!B17)</f>
      </c>
      <c r="D15" s="163">
        <f>IF('Spielereinsatzliste A1'!C17="","",'Spielereinsatzliste A1'!C17)</f>
      </c>
      <c r="E15" s="161" t="str">
        <f>IF('Spielereinsatzliste A1'!D17="","",'Spielereinsatzliste A1'!D17)</f>
        <v>Schulte am Hülse, Lutz</v>
      </c>
      <c r="F15" s="162">
        <f>IF('Spielereinsatzliste A2'!B17="","",'Spielereinsatzliste A2'!B17)</f>
      </c>
      <c r="G15" s="163">
        <f>IF('Spielereinsatzliste A2'!C17="","",'Spielereinsatzliste A2'!C17)</f>
      </c>
      <c r="H15" s="161" t="str">
        <f>IF('Spielereinsatzliste A2'!D17="","",'Spielereinsatzliste A2'!D17)</f>
        <v>Lange, Rainer</v>
      </c>
      <c r="I15" s="162">
        <f>IF('Spielereinsatzliste A3'!B17="","",'Spielereinsatzliste A3'!B17)</f>
        <v>3</v>
      </c>
      <c r="J15" s="163">
        <f>IF('Spielereinsatzliste A3'!C17="","",'Spielereinsatzliste A3'!C17)</f>
      </c>
      <c r="K15" s="161" t="str">
        <f>IF('Spielereinsatzliste A3'!D17="","",'Spielereinsatzliste A3'!D17)</f>
        <v>Trautnitz, Hans</v>
      </c>
      <c r="L15" s="162">
        <f>IF('Spielereinsatzliste A4'!B17="","",'Spielereinsatzliste A4'!B17)</f>
      </c>
      <c r="M15" s="163">
        <f>IF('Spielereinsatzliste A4'!C17="","",'Spielereinsatzliste A4'!C17)</f>
      </c>
      <c r="N15" s="161" t="str">
        <f>IF('Spielereinsatzliste A4'!D17="","",'Spielereinsatzliste A4'!D17)</f>
        <v>Ruhl, Hartmut</v>
      </c>
      <c r="O15" s="162">
        <f>IF('Spielereinsatzliste A5'!B17="","",'Spielereinsatzliste A5'!B17)</f>
      </c>
      <c r="P15" s="163">
        <f>IF('Spielereinsatzliste A5'!C17="","",'Spielereinsatzliste A5'!C17)</f>
      </c>
      <c r="Q15" s="161" t="str">
        <f>IF('Spielereinsatzliste A5'!D17="","",'Spielereinsatzliste A5'!D17)</f>
        <v>Koch, Hans-Peter</v>
      </c>
      <c r="R15" s="243">
        <f t="shared" si="2"/>
      </c>
      <c r="S15" s="243">
        <f t="shared" si="3"/>
      </c>
      <c r="T15" s="243" t="str">
        <f t="shared" si="4"/>
        <v>Geibel, Peter</v>
      </c>
      <c r="U15" s="243">
        <f t="shared" si="5"/>
      </c>
      <c r="V15" s="243">
        <f t="shared" si="6"/>
      </c>
      <c r="W15" s="243" t="str">
        <f t="shared" si="7"/>
        <v>Ruschka Uwe</v>
      </c>
      <c r="X15" s="243">
        <f t="shared" si="8"/>
        <v>7</v>
      </c>
      <c r="Y15" s="243">
        <f t="shared" si="9"/>
      </c>
      <c r="Z15" s="243" t="str">
        <f t="shared" si="10"/>
        <v>Euler, Thomas</v>
      </c>
      <c r="AA15" s="243">
        <f t="shared" si="11"/>
        <v>3</v>
      </c>
      <c r="AB15" s="243">
        <f t="shared" si="12"/>
      </c>
      <c r="AC15" s="243" t="str">
        <f t="shared" si="13"/>
        <v>Fuchs, Martin</v>
      </c>
      <c r="AD15" s="243">
        <f t="shared" si="14"/>
      </c>
      <c r="AE15" s="243">
        <f t="shared" si="15"/>
      </c>
      <c r="AF15" s="243" t="str">
        <f t="shared" si="16"/>
        <v>Kammer Dietmar</v>
      </c>
      <c r="AG15" s="245" t="s">
        <v>124</v>
      </c>
      <c r="AH15" s="245"/>
    </row>
    <row r="16" spans="1:34" s="203" customFormat="1" ht="12.75" customHeight="1" thickBot="1">
      <c r="A16" s="621"/>
      <c r="B16" s="244">
        <v>13</v>
      </c>
      <c r="C16" s="162">
        <f>IF('Spielereinsatzliste A1'!B18="","",'Spielereinsatzliste A1'!B18)</f>
      </c>
      <c r="D16" s="163">
        <f>IF('Spielereinsatzliste A1'!C18="","",'Spielereinsatzliste A1'!C18)</f>
      </c>
      <c r="E16" s="161" t="str">
        <f>IF('Spielereinsatzliste A1'!D18="","",'Spielereinsatzliste A1'!D18)</f>
        <v>Voss, Uwe</v>
      </c>
      <c r="F16" s="162">
        <f>IF('Spielereinsatzliste A2'!B18="","",'Spielereinsatzliste A2'!B18)</f>
      </c>
      <c r="G16" s="163">
        <f>IF('Spielereinsatzliste A2'!C18="","",'Spielereinsatzliste A2'!C18)</f>
      </c>
      <c r="H16" s="161" t="str">
        <f>IF('Spielereinsatzliste A2'!D18="","",'Spielereinsatzliste A2'!D18)</f>
        <v>Schelling, Hergen</v>
      </c>
      <c r="I16" s="162">
        <f>IF('Spielereinsatzliste A3'!B18="","",'Spielereinsatzliste A3'!B18)</f>
        <v>8</v>
      </c>
      <c r="J16" s="163">
        <f>IF('Spielereinsatzliste A3'!C18="","",'Spielereinsatzliste A3'!C18)</f>
      </c>
      <c r="K16" s="161" t="str">
        <f>IF('Spielereinsatzliste A3'!D18="","",'Spielereinsatzliste A3'!D18)</f>
        <v>Nuvolin, Thomas</v>
      </c>
      <c r="L16" s="162">
        <f>IF('Spielereinsatzliste A4'!B18="","",'Spielereinsatzliste A4'!B18)</f>
      </c>
      <c r="M16" s="163">
        <f>IF('Spielereinsatzliste A4'!C18="","",'Spielereinsatzliste A4'!C18)</f>
      </c>
      <c r="N16" s="161" t="str">
        <f>IF('Spielereinsatzliste A4'!D18="","",'Spielereinsatzliste A4'!D18)</f>
        <v>Sieber, Reinhold</v>
      </c>
      <c r="O16" s="162">
        <f>IF('Spielereinsatzliste A5'!B18="","",'Spielereinsatzliste A5'!B18)</f>
      </c>
      <c r="P16" s="163">
        <f>IF('Spielereinsatzliste A5'!C18="","",'Spielereinsatzliste A5'!C18)</f>
      </c>
      <c r="Q16" s="161" t="str">
        <f>IF('Spielereinsatzliste A5'!D18="","",'Spielereinsatzliste A5'!D18)</f>
        <v>Naumann, Thomas</v>
      </c>
      <c r="R16" s="243">
        <f t="shared" si="2"/>
      </c>
      <c r="S16" s="243">
        <f t="shared" si="3"/>
      </c>
      <c r="T16" s="243" t="str">
        <f t="shared" si="4"/>
        <v>Haßler, Erik</v>
      </c>
      <c r="U16" s="243">
        <f t="shared" si="5"/>
      </c>
      <c r="V16" s="243">
        <f t="shared" si="6"/>
      </c>
      <c r="W16" s="243" t="str">
        <f t="shared" si="7"/>
        <v>Kühner Kuno</v>
      </c>
      <c r="X16" s="243">
        <f t="shared" si="8"/>
      </c>
      <c r="Y16" s="243">
        <f t="shared" si="9"/>
      </c>
      <c r="Z16" s="243" t="str">
        <f t="shared" si="10"/>
        <v>Cymera, Rainer</v>
      </c>
      <c r="AA16" s="243">
        <f t="shared" si="11"/>
        <v>4</v>
      </c>
      <c r="AB16" s="243">
        <f t="shared" si="12"/>
      </c>
      <c r="AC16" s="243" t="str">
        <f t="shared" si="13"/>
        <v>Feigl, Hans-Peter</v>
      </c>
      <c r="AD16" s="243">
        <f t="shared" si="14"/>
      </c>
      <c r="AE16" s="243">
        <f t="shared" si="15"/>
      </c>
      <c r="AF16" s="243" t="str">
        <f t="shared" si="16"/>
        <v>Büchholz Norbert</v>
      </c>
      <c r="AG16" s="245" t="s">
        <v>125</v>
      </c>
      <c r="AH16" s="245"/>
    </row>
    <row r="17" spans="1:34" s="203" customFormat="1" ht="12.75" customHeight="1">
      <c r="A17" s="621"/>
      <c r="B17" s="242">
        <v>14</v>
      </c>
      <c r="C17" s="162">
        <f>IF('Spielereinsatzliste A1'!B19="","",'Spielereinsatzliste A1'!B19)</f>
      </c>
      <c r="D17" s="163">
        <f>IF('Spielereinsatzliste A1'!C19="","",'Spielereinsatzliste A1'!C19)</f>
      </c>
      <c r="E17" s="161" t="str">
        <f>IF('Spielereinsatzliste A1'!D19="","",'Spielereinsatzliste A1'!D19)</f>
        <v>Koth, Thorsten</v>
      </c>
      <c r="F17" s="162">
        <f>IF('Spielereinsatzliste A2'!B19="","",'Spielereinsatzliste A2'!B19)</f>
      </c>
      <c r="G17" s="163" t="str">
        <f>IF('Spielereinsatzliste A2'!C19="","",'Spielereinsatzliste A2'!C19)</f>
        <v>X</v>
      </c>
      <c r="H17" s="161" t="str">
        <f>IF('Spielereinsatzliste A2'!D19="","",'Spielereinsatzliste A2'!D19)</f>
        <v>Kläner, Uwe</v>
      </c>
      <c r="I17" s="162">
        <f>IF('Spielereinsatzliste A3'!B19="","",'Spielereinsatzliste A3'!B19)</f>
        <v>10</v>
      </c>
      <c r="J17" s="163">
        <f>IF('Spielereinsatzliste A3'!C19="","",'Spielereinsatzliste A3'!C19)</f>
      </c>
      <c r="K17" s="161" t="str">
        <f>IF('Spielereinsatzliste A3'!D19="","",'Spielereinsatzliste A3'!D19)</f>
        <v>Müncheberg, Stefan</v>
      </c>
      <c r="L17" s="162">
        <f>IF('Spielereinsatzliste A4'!B19="","",'Spielereinsatzliste A4'!B19)</f>
      </c>
      <c r="M17" s="163">
        <f>IF('Spielereinsatzliste A4'!C19="","",'Spielereinsatzliste A4'!C19)</f>
      </c>
      <c r="N17" s="161" t="str">
        <f>IF('Spielereinsatzliste A4'!D19="","",'Spielereinsatzliste A4'!D19)</f>
        <v>Seidel, Hubert</v>
      </c>
      <c r="O17" s="162">
        <f>IF('Spielereinsatzliste A5'!B19="","",'Spielereinsatzliste A5'!B19)</f>
      </c>
      <c r="P17" s="163" t="str">
        <f>IF('Spielereinsatzliste A5'!C19="","",'Spielereinsatzliste A5'!C19)</f>
        <v>x</v>
      </c>
      <c r="Q17" s="161" t="str">
        <f>IF('Spielereinsatzliste A5'!D19="","",'Spielereinsatzliste A5'!D19)</f>
        <v>Vogelpohl, Lutz</v>
      </c>
      <c r="R17" s="243">
        <f t="shared" si="2"/>
      </c>
      <c r="S17" s="243">
        <f t="shared" si="3"/>
      </c>
      <c r="T17" s="243" t="str">
        <f t="shared" si="4"/>
        <v>Kneip, Swen</v>
      </c>
      <c r="U17" s="243">
        <f t="shared" si="5"/>
      </c>
      <c r="V17" s="243">
        <f t="shared" si="6"/>
      </c>
      <c r="W17" s="243" t="str">
        <f t="shared" si="7"/>
        <v>Gruber Andreas</v>
      </c>
      <c r="X17" s="243">
        <f t="shared" si="8"/>
        <v>6</v>
      </c>
      <c r="Y17" s="243">
        <f t="shared" si="9"/>
      </c>
      <c r="Z17" s="243" t="str">
        <f t="shared" si="10"/>
        <v>Pelz, Martin</v>
      </c>
      <c r="AA17" s="243">
        <f t="shared" si="11"/>
        <v>5</v>
      </c>
      <c r="AB17" s="243">
        <f t="shared" si="12"/>
      </c>
      <c r="AC17" s="243" t="str">
        <f t="shared" si="13"/>
        <v>Ulmer, Joachim</v>
      </c>
      <c r="AD17" s="243">
        <f t="shared" si="14"/>
      </c>
      <c r="AE17" s="243">
        <f t="shared" si="15"/>
      </c>
      <c r="AF17" s="243" t="str">
        <f t="shared" si="16"/>
        <v>Frenzel, Heiko</v>
      </c>
      <c r="AG17" s="245" t="s">
        <v>126</v>
      </c>
      <c r="AH17" s="245"/>
    </row>
    <row r="18" spans="1:34" s="203" customFormat="1" ht="12.75" customHeight="1" thickBot="1">
      <c r="A18" s="621"/>
      <c r="B18" s="244">
        <v>15</v>
      </c>
      <c r="C18" s="162">
        <f>IF('Spielereinsatzliste A1'!B20="","",'Spielereinsatzliste A1'!B20)</f>
      </c>
      <c r="D18" s="163">
        <f>IF('Spielereinsatzliste A1'!C20="","",'Spielereinsatzliste A1'!C20)</f>
      </c>
      <c r="E18" s="161" t="str">
        <f>IF('Spielereinsatzliste A1'!D20="","",'Spielereinsatzliste A1'!D20)</f>
        <v>Meyer-Weichelt, Volker</v>
      </c>
      <c r="F18" s="162">
        <f>IF('Spielereinsatzliste A2'!B20="","",'Spielereinsatzliste A2'!B20)</f>
      </c>
      <c r="G18" s="163">
        <f>IF('Spielereinsatzliste A2'!C20="","",'Spielereinsatzliste A2'!C20)</f>
      </c>
      <c r="H18" s="161" t="str">
        <f>IF('Spielereinsatzliste A2'!D20="","",'Spielereinsatzliste A2'!D20)</f>
        <v>Kläner, Frank</v>
      </c>
      <c r="I18" s="162">
        <f>IF('Spielereinsatzliste A3'!B20="","",'Spielereinsatzliste A3'!B20)</f>
        <v>12</v>
      </c>
      <c r="J18" s="163">
        <f>IF('Spielereinsatzliste A3'!C20="","",'Spielereinsatzliste A3'!C20)</f>
      </c>
      <c r="K18" s="161" t="str">
        <f>IF('Spielereinsatzliste A3'!D20="","",'Spielereinsatzliste A3'!D20)</f>
        <v>Kemming, Michael</v>
      </c>
      <c r="L18" s="162">
        <f>IF('Spielereinsatzliste A4'!B20="","",'Spielereinsatzliste A4'!B20)</f>
      </c>
      <c r="M18" s="163">
        <f>IF('Spielereinsatzliste A4'!C20="","",'Spielereinsatzliste A4'!C20)</f>
      </c>
      <c r="N18" s="161" t="str">
        <f>IF('Spielereinsatzliste A4'!D20="","",'Spielereinsatzliste A4'!D20)</f>
        <v>Gernet, Siegfried</v>
      </c>
      <c r="O18" s="162">
        <f>IF('Spielereinsatzliste A5'!B20="","",'Spielereinsatzliste A5'!B20)</f>
      </c>
      <c r="P18" s="163">
        <f>IF('Spielereinsatzliste A5'!C20="","",'Spielereinsatzliste A5'!C20)</f>
      </c>
      <c r="Q18" s="161" t="str">
        <f>IF('Spielereinsatzliste A5'!D20="","",'Spielereinsatzliste A5'!D20)</f>
        <v>Reinhardt, Steffen</v>
      </c>
      <c r="R18" s="243">
        <f t="shared" si="2"/>
      </c>
      <c r="S18" s="243" t="str">
        <f t="shared" si="3"/>
        <v>X</v>
      </c>
      <c r="T18" s="243" t="str">
        <f t="shared" si="4"/>
        <v>Kneip, Lutz</v>
      </c>
      <c r="U18" s="243">
        <f t="shared" si="5"/>
      </c>
      <c r="V18" s="243">
        <f t="shared" si="6"/>
      </c>
      <c r="W18" s="243" t="str">
        <f t="shared" si="7"/>
        <v>Heinle Manfred</v>
      </c>
      <c r="X18" s="243">
        <f t="shared" si="8"/>
        <v>10</v>
      </c>
      <c r="Y18" s="243" t="str">
        <f t="shared" si="9"/>
        <v>X</v>
      </c>
      <c r="Z18" s="243" t="str">
        <f t="shared" si="10"/>
        <v>Mehle, Udo</v>
      </c>
      <c r="AA18" s="243">
        <f t="shared" si="11"/>
        <v>6</v>
      </c>
      <c r="AB18" s="243">
        <f t="shared" si="12"/>
      </c>
      <c r="AC18" s="243" t="str">
        <f t="shared" si="13"/>
        <v>Kopplin, Klaus</v>
      </c>
      <c r="AD18" s="243">
        <f t="shared" si="14"/>
      </c>
      <c r="AE18" s="243">
        <f t="shared" si="15"/>
      </c>
      <c r="AF18" s="243" t="str">
        <f t="shared" si="16"/>
        <v>Hrudzik, Ralf</v>
      </c>
      <c r="AG18" s="245" t="s">
        <v>127</v>
      </c>
      <c r="AH18" s="245"/>
    </row>
    <row r="19" spans="1:32" s="203" customFormat="1" ht="12.75" customHeight="1">
      <c r="A19" s="621"/>
      <c r="B19" s="242">
        <v>16</v>
      </c>
      <c r="C19" s="162">
        <f>IF('Spielereinsatzliste A1'!B21="","",'Spielereinsatzliste A1'!B21)</f>
      </c>
      <c r="D19" s="163">
        <f>IF('Spielereinsatzliste A1'!C21="","",'Spielereinsatzliste A1'!C21)</f>
      </c>
      <c r="E19" s="161" t="str">
        <f>IF('Spielereinsatzliste A1'!D21="","",'Spielereinsatzliste A1'!D21)</f>
        <v>Vahle, Ralf</v>
      </c>
      <c r="F19" s="162">
        <f>IF('Spielereinsatzliste A2'!B21="","",'Spielereinsatzliste A2'!B21)</f>
      </c>
      <c r="G19" s="163">
        <f>IF('Spielereinsatzliste A2'!C21="","",'Spielereinsatzliste A2'!C21)</f>
      </c>
      <c r="H19" s="161" t="str">
        <f>IF('Spielereinsatzliste A2'!D21="","",'Spielereinsatzliste A2'!D21)</f>
        <v>Röpken, Holger</v>
      </c>
      <c r="I19" s="162">
        <f>IF('Spielereinsatzliste A3'!B21="","",'Spielereinsatzliste A3'!B21)</f>
      </c>
      <c r="J19" s="163">
        <f>IF('Spielereinsatzliste A3'!C21="","",'Spielereinsatzliste A3'!C21)</f>
      </c>
      <c r="K19" s="161">
        <f>IF('Spielereinsatzliste A3'!D21="","",'Spielereinsatzliste A3'!D21)</f>
      </c>
      <c r="L19" s="162">
        <f>IF('Spielereinsatzliste A4'!B21="","",'Spielereinsatzliste A4'!B21)</f>
      </c>
      <c r="M19" s="163">
        <f>IF('Spielereinsatzliste A4'!C21="","",'Spielereinsatzliste A4'!C21)</f>
      </c>
      <c r="N19" s="161" t="str">
        <f>IF('Spielereinsatzliste A4'!D21="","",'Spielereinsatzliste A4'!D21)</f>
        <v>Frank, Reiner</v>
      </c>
      <c r="O19" s="162">
        <f>IF('Spielereinsatzliste A5'!B21="","",'Spielereinsatzliste A5'!B21)</f>
      </c>
      <c r="P19" s="163">
        <f>IF('Spielereinsatzliste A5'!C21="","",'Spielereinsatzliste A5'!C21)</f>
      </c>
      <c r="Q19" s="161">
        <f>IF('Spielereinsatzliste A5'!D21="","",'Spielereinsatzliste A5'!D21)</f>
      </c>
      <c r="R19" s="243">
        <f t="shared" si="2"/>
      </c>
      <c r="S19" s="243">
        <f t="shared" si="3"/>
      </c>
      <c r="T19" s="243" t="str">
        <f t="shared" si="4"/>
        <v>Utta, Frank</v>
      </c>
      <c r="U19" s="243">
        <f t="shared" si="5"/>
      </c>
      <c r="V19" s="243">
        <f t="shared" si="6"/>
      </c>
      <c r="W19" s="243" t="str">
        <f t="shared" si="7"/>
        <v>Schollenberger Herbert</v>
      </c>
      <c r="X19" s="243">
        <f t="shared" si="8"/>
        <v>15</v>
      </c>
      <c r="Y19" s="243">
        <f t="shared" si="9"/>
      </c>
      <c r="Z19" s="243" t="str">
        <f t="shared" si="10"/>
        <v>Meller, Thomas</v>
      </c>
      <c r="AA19" s="243">
        <f t="shared" si="11"/>
        <v>7</v>
      </c>
      <c r="AB19" s="243">
        <f t="shared" si="12"/>
      </c>
      <c r="AC19" s="243" t="str">
        <f t="shared" si="13"/>
        <v>Bürkle, Stefan</v>
      </c>
      <c r="AD19" s="243">
        <f t="shared" si="14"/>
      </c>
      <c r="AE19" s="243">
        <f t="shared" si="15"/>
      </c>
      <c r="AF19" s="243" t="str">
        <f t="shared" si="16"/>
        <v>Marsch, Andre´</v>
      </c>
    </row>
    <row r="20" spans="1:32" s="203" customFormat="1" ht="12.75" customHeight="1" thickBot="1">
      <c r="A20" s="622"/>
      <c r="B20" s="244">
        <v>17</v>
      </c>
      <c r="C20" s="162">
        <f>IF('Spielereinsatzliste A1'!B22="","",'Spielereinsatzliste A1'!B22)</f>
      </c>
      <c r="D20" s="163">
        <f>IF('Spielereinsatzliste A1'!C22="","",'Spielereinsatzliste A1'!C22)</f>
      </c>
      <c r="E20" s="161">
        <f>IF('Spielereinsatzliste A1'!D22="","",'Spielereinsatzliste A1'!D22)</f>
      </c>
      <c r="F20" s="162">
        <f>IF('Spielereinsatzliste A2'!B22="","",'Spielereinsatzliste A2'!B22)</f>
      </c>
      <c r="G20" s="163">
        <f>IF('Spielereinsatzliste A2'!C22="","",'Spielereinsatzliste A2'!C22)</f>
      </c>
      <c r="H20" s="161">
        <f>IF('Spielereinsatzliste A2'!D22="","",'Spielereinsatzliste A2'!D22)</f>
      </c>
      <c r="I20" s="162">
        <f>IF('Spielereinsatzliste A3'!B22="","",'Spielereinsatzliste A3'!B22)</f>
      </c>
      <c r="J20" s="163">
        <f>IF('Spielereinsatzliste A3'!C22="","",'Spielereinsatzliste A3'!C22)</f>
      </c>
      <c r="K20" s="161">
        <f>IF('Spielereinsatzliste A3'!D22="","",'Spielereinsatzliste A3'!D22)</f>
      </c>
      <c r="L20" s="162">
        <f>IF('Spielereinsatzliste A4'!B22="","",'Spielereinsatzliste A4'!B22)</f>
      </c>
      <c r="M20" s="163" t="str">
        <f>IF('Spielereinsatzliste A4'!C22="","",'Spielereinsatzliste A4'!C22)</f>
        <v>X</v>
      </c>
      <c r="N20" s="161" t="str">
        <f>IF('Spielereinsatzliste A4'!D22="","",'Spielereinsatzliste A4'!D22)</f>
        <v>Leipold, Gerhard</v>
      </c>
      <c r="O20" s="162">
        <f>IF('Spielereinsatzliste A5'!B22="","",'Spielereinsatzliste A5'!B22)</f>
      </c>
      <c r="P20" s="163">
        <f>IF('Spielereinsatzliste A5'!C22="","",'Spielereinsatzliste A5'!C22)</f>
      </c>
      <c r="Q20" s="161">
        <f>IF('Spielereinsatzliste A5'!D22="","",'Spielereinsatzliste A5'!D22)</f>
      </c>
      <c r="R20" s="243">
        <f t="shared" si="2"/>
      </c>
      <c r="S20" s="243">
        <f t="shared" si="3"/>
      </c>
      <c r="T20" s="243" t="str">
        <f t="shared" si="4"/>
        <v>Wagner, Stephan</v>
      </c>
      <c r="U20" s="243">
        <f t="shared" si="5"/>
      </c>
      <c r="V20" s="243">
        <f t="shared" si="6"/>
      </c>
      <c r="W20" s="243" t="str">
        <f t="shared" si="7"/>
        <v>Tremmel Armin</v>
      </c>
      <c r="X20" s="243">
        <f t="shared" si="8"/>
        <v>19</v>
      </c>
      <c r="Y20" s="243">
        <f t="shared" si="9"/>
      </c>
      <c r="Z20" s="243" t="str">
        <f t="shared" si="10"/>
        <v>Theurig, Marcus</v>
      </c>
      <c r="AA20" s="243">
        <f t="shared" si="11"/>
        <v>8</v>
      </c>
      <c r="AB20" s="243">
        <f t="shared" si="12"/>
      </c>
      <c r="AC20" s="243" t="str">
        <f t="shared" si="13"/>
        <v>Göck, Sepp-Dieter</v>
      </c>
      <c r="AD20" s="243">
        <f t="shared" si="14"/>
      </c>
      <c r="AE20" s="243">
        <f t="shared" si="15"/>
      </c>
      <c r="AF20" s="243" t="str">
        <f t="shared" si="16"/>
        <v>Köhn, Hartmut</v>
      </c>
    </row>
    <row r="21" spans="1:32" s="203" customFormat="1" ht="12.75" customHeight="1">
      <c r="A21" s="622"/>
      <c r="B21" s="242">
        <v>18</v>
      </c>
      <c r="C21" s="162">
        <f>IF('Spielereinsatzliste A1'!B23="","",'Spielereinsatzliste A1'!B23)</f>
      </c>
      <c r="D21" s="163">
        <f>IF('Spielereinsatzliste A1'!C23="","",'Spielereinsatzliste A1'!C23)</f>
      </c>
      <c r="E21" s="161">
        <f>IF('Spielereinsatzliste A1'!D23="","",'Spielereinsatzliste A1'!D23)</f>
      </c>
      <c r="F21" s="162">
        <f>IF('Spielereinsatzliste A2'!B23="","",'Spielereinsatzliste A2'!B23)</f>
      </c>
      <c r="G21" s="163">
        <f>IF('Spielereinsatzliste A2'!C23="","",'Spielereinsatzliste A2'!C23)</f>
      </c>
      <c r="H21" s="161">
        <f>IF('Spielereinsatzliste A2'!D23="","",'Spielereinsatzliste A2'!D23)</f>
      </c>
      <c r="I21" s="162">
        <f>IF('Spielereinsatzliste A3'!B23="","",'Spielereinsatzliste A3'!B23)</f>
      </c>
      <c r="J21" s="163">
        <f>IF('Spielereinsatzliste A3'!C23="","",'Spielereinsatzliste A3'!C23)</f>
      </c>
      <c r="K21" s="161">
        <f>IF('Spielereinsatzliste A3'!D23="","",'Spielereinsatzliste A3'!D23)</f>
      </c>
      <c r="L21" s="162">
        <f>IF('Spielereinsatzliste A4'!B23="","",'Spielereinsatzliste A4'!B23)</f>
      </c>
      <c r="M21" s="163">
        <f>IF('Spielereinsatzliste A4'!C23="","",'Spielereinsatzliste A4'!C23)</f>
      </c>
      <c r="N21" s="161" t="str">
        <f>IF('Spielereinsatzliste A4'!D23="","",'Spielereinsatzliste A4'!D23)</f>
        <v>Götz, Uwe</v>
      </c>
      <c r="O21" s="162">
        <f>IF('Spielereinsatzliste A5'!B23="","",'Spielereinsatzliste A5'!B23)</f>
      </c>
      <c r="P21" s="163">
        <f>IF('Spielereinsatzliste A5'!C23="","",'Spielereinsatzliste A5'!C23)</f>
      </c>
      <c r="Q21" s="161">
        <f>IF('Spielereinsatzliste A5'!D23="","",'Spielereinsatzliste A5'!D23)</f>
      </c>
      <c r="R21" s="243">
        <f t="shared" si="2"/>
      </c>
      <c r="S21" s="243">
        <f t="shared" si="3"/>
      </c>
      <c r="T21" s="243">
        <f t="shared" si="4"/>
      </c>
      <c r="U21" s="243">
        <f t="shared" si="5"/>
      </c>
      <c r="V21" s="243">
        <f t="shared" si="6"/>
      </c>
      <c r="W21" s="243" t="str">
        <f t="shared" si="7"/>
        <v>Spiegel Dirk</v>
      </c>
      <c r="X21" s="243">
        <f t="shared" si="8"/>
      </c>
      <c r="Y21" s="243">
        <f t="shared" si="9"/>
      </c>
      <c r="Z21" s="243" t="str">
        <f t="shared" si="10"/>
        <v>von Laufenberg, Frank</v>
      </c>
      <c r="AA21" s="243">
        <f t="shared" si="11"/>
      </c>
      <c r="AB21" s="243">
        <f t="shared" si="12"/>
      </c>
      <c r="AC21" s="243">
        <f t="shared" si="13"/>
      </c>
      <c r="AD21" s="243">
        <f t="shared" si="14"/>
      </c>
      <c r="AE21" s="243">
        <f t="shared" si="15"/>
      </c>
      <c r="AF21" s="243" t="str">
        <f t="shared" si="16"/>
        <v>Schneider, Frank</v>
      </c>
    </row>
    <row r="22" spans="1:32" s="203" customFormat="1" ht="12.75" customHeight="1" thickBot="1">
      <c r="A22" s="622"/>
      <c r="B22" s="244">
        <v>19</v>
      </c>
      <c r="C22" s="164">
        <f>IF('Spielereinsatzliste A1'!B24="","",'Spielereinsatzliste A1'!B24)</f>
      </c>
      <c r="D22" s="165">
        <f>IF('Spielereinsatzliste A1'!C24="","",'Spielereinsatzliste A1'!C24)</f>
      </c>
      <c r="E22" s="166">
        <f>IF('Spielereinsatzliste A1'!D24="","",'Spielereinsatzliste A1'!D24)</f>
      </c>
      <c r="F22" s="164">
        <f>IF('Spielereinsatzliste A2'!B24="","",'Spielereinsatzliste A2'!B24)</f>
      </c>
      <c r="G22" s="165">
        <f>IF('Spielereinsatzliste A2'!C24="","",'Spielereinsatzliste A2'!C24)</f>
      </c>
      <c r="H22" s="166">
        <f>IF('Spielereinsatzliste A2'!D24="","",'Spielereinsatzliste A2'!D24)</f>
      </c>
      <c r="I22" s="164">
        <f>IF('Spielereinsatzliste A3'!B24="","",'Spielereinsatzliste A3'!B24)</f>
      </c>
      <c r="J22" s="165">
        <f>IF('Spielereinsatzliste A3'!C24="","",'Spielereinsatzliste A3'!C24)</f>
      </c>
      <c r="K22" s="166">
        <f>IF('Spielereinsatzliste A3'!D24="","",'Spielereinsatzliste A3'!D24)</f>
      </c>
      <c r="L22" s="164">
        <f>IF('Spielereinsatzliste A4'!B24="","",'Spielereinsatzliste A4'!B24)</f>
      </c>
      <c r="M22" s="165">
        <f>IF('Spielereinsatzliste A4'!C24="","",'Spielereinsatzliste A4'!C24)</f>
      </c>
      <c r="N22" s="166" t="str">
        <f>IF('Spielereinsatzliste A4'!D24="","",'Spielereinsatzliste A4'!D24)</f>
        <v>Hoffmann, Klaus</v>
      </c>
      <c r="O22" s="164">
        <f>IF('Spielereinsatzliste A5'!B24="","",'Spielereinsatzliste A5'!B24)</f>
      </c>
      <c r="P22" s="165">
        <f>IF('Spielereinsatzliste A5'!C24="","",'Spielereinsatzliste A5'!C24)</f>
      </c>
      <c r="Q22" s="166">
        <f>IF('Spielereinsatzliste A5'!D24="","",'Spielereinsatzliste A5'!D24)</f>
      </c>
      <c r="R22" s="243">
        <f t="shared" si="2"/>
      </c>
      <c r="S22" s="243">
        <f t="shared" si="3"/>
      </c>
      <c r="T22" s="243">
        <f t="shared" si="4"/>
      </c>
      <c r="U22" s="243">
        <f t="shared" si="5"/>
      </c>
      <c r="V22" s="243">
        <f t="shared" si="6"/>
      </c>
      <c r="W22" s="243" t="str">
        <f t="shared" si="7"/>
        <v> </v>
      </c>
      <c r="X22" s="243">
        <f t="shared" si="8"/>
      </c>
      <c r="Y22" s="243">
        <f t="shared" si="9"/>
      </c>
      <c r="Z22" s="243">
        <f t="shared" si="10"/>
      </c>
      <c r="AA22" s="243">
        <f t="shared" si="11"/>
      </c>
      <c r="AB22" s="243">
        <f t="shared" si="12"/>
      </c>
      <c r="AC22" s="243">
        <f t="shared" si="13"/>
      </c>
      <c r="AD22" s="243">
        <f t="shared" si="14"/>
      </c>
      <c r="AE22" s="243">
        <f t="shared" si="15"/>
      </c>
      <c r="AF22" s="243">
        <f t="shared" si="16"/>
      </c>
    </row>
    <row r="23" spans="1:32" s="203" customFormat="1" ht="12.75" customHeight="1">
      <c r="A23" s="173" t="s">
        <v>39</v>
      </c>
      <c r="B23" s="242">
        <v>20</v>
      </c>
      <c r="C23" s="167"/>
      <c r="D23" s="168"/>
      <c r="E23" s="160">
        <f>IF('Spielereinsatzliste A1'!D25="","",'Spielereinsatzliste A1'!D25)</f>
      </c>
      <c r="F23" s="167"/>
      <c r="G23" s="168"/>
      <c r="H23" s="160">
        <f>IF('Spielereinsatzliste A2'!D25="","",'Spielereinsatzliste A2'!D25)</f>
      </c>
      <c r="I23" s="167"/>
      <c r="J23" s="168"/>
      <c r="K23" s="160">
        <f>IF('Spielereinsatzliste A3'!D25="","",'Spielereinsatzliste A3'!D25)</f>
      </c>
      <c r="L23" s="167"/>
      <c r="M23" s="168"/>
      <c r="N23" s="160">
        <f>IF('Spielereinsatzliste A4'!D25="","",'Spielereinsatzliste A4'!D25)</f>
      </c>
      <c r="O23" s="167"/>
      <c r="P23" s="168"/>
      <c r="Q23" s="160">
        <f>IF('Spielereinsatzliste A5'!D25="","",'Spielereinsatzliste A5'!D25)</f>
      </c>
      <c r="R23" s="243">
        <f t="shared" si="2"/>
        <v>0</v>
      </c>
      <c r="S23" s="243">
        <f t="shared" si="3"/>
        <v>0</v>
      </c>
      <c r="T23" s="243" t="str">
        <f t="shared" si="4"/>
        <v>Leutheuser, Heiko</v>
      </c>
      <c r="U23" s="243">
        <f t="shared" si="5"/>
        <v>0</v>
      </c>
      <c r="V23" s="243">
        <f t="shared" si="6"/>
        <v>0</v>
      </c>
      <c r="W23" s="243" t="str">
        <f t="shared" si="7"/>
        <v>Kühner Kuno</v>
      </c>
      <c r="X23" s="243">
        <f t="shared" si="8"/>
        <v>0</v>
      </c>
      <c r="Y23" s="243">
        <f t="shared" si="9"/>
        <v>0</v>
      </c>
      <c r="Z23" s="243">
        <f t="shared" si="10"/>
      </c>
      <c r="AA23" s="243">
        <f t="shared" si="11"/>
        <v>0</v>
      </c>
      <c r="AB23" s="243">
        <f t="shared" si="12"/>
        <v>0</v>
      </c>
      <c r="AC23" s="243">
        <f t="shared" si="13"/>
      </c>
      <c r="AD23" s="243">
        <f t="shared" si="14"/>
        <v>0</v>
      </c>
      <c r="AE23" s="243">
        <f t="shared" si="15"/>
        <v>0</v>
      </c>
      <c r="AF23" s="243">
        <f t="shared" si="16"/>
      </c>
    </row>
    <row r="24" spans="1:32" s="203" customFormat="1" ht="12.75" customHeight="1" thickBot="1">
      <c r="A24" s="174" t="s">
        <v>40</v>
      </c>
      <c r="B24" s="246">
        <v>21</v>
      </c>
      <c r="C24" s="169"/>
      <c r="D24" s="170"/>
      <c r="E24" s="171">
        <f>IF('Spielereinsatzliste A1'!D26="","",'Spielereinsatzliste A1'!D26)</f>
      </c>
      <c r="F24" s="169"/>
      <c r="G24" s="170"/>
      <c r="H24" s="171">
        <f>IF('Spielereinsatzliste A2'!D26="","",'Spielereinsatzliste A2'!D26)</f>
      </c>
      <c r="I24" s="169"/>
      <c r="J24" s="170"/>
      <c r="K24" s="171" t="str">
        <f>IF('Spielereinsatzliste A3'!D26="","",'Spielereinsatzliste A3'!D26)</f>
        <v>Schwend, Reinhard</v>
      </c>
      <c r="L24" s="169"/>
      <c r="M24" s="170"/>
      <c r="N24" s="171">
        <f>IF('Spielereinsatzliste A4'!D26="","",'Spielereinsatzliste A4'!D26)</f>
      </c>
      <c r="O24" s="169"/>
      <c r="P24" s="170"/>
      <c r="Q24" s="171">
        <f>IF('Spielereinsatzliste A5'!D26="","",'Spielereinsatzliste A5'!D26)</f>
      </c>
      <c r="R24" s="243">
        <f t="shared" si="2"/>
        <v>0</v>
      </c>
      <c r="S24" s="243">
        <f t="shared" si="3"/>
        <v>0</v>
      </c>
      <c r="T24" s="243">
        <f t="shared" si="4"/>
      </c>
      <c r="U24" s="243">
        <f t="shared" si="5"/>
        <v>0</v>
      </c>
      <c r="V24" s="243">
        <f t="shared" si="6"/>
        <v>0</v>
      </c>
      <c r="W24" s="243">
        <f t="shared" si="7"/>
      </c>
      <c r="X24" s="243">
        <f t="shared" si="8"/>
        <v>0</v>
      </c>
      <c r="Y24" s="243">
        <f t="shared" si="9"/>
        <v>0</v>
      </c>
      <c r="Z24" s="243">
        <f t="shared" si="10"/>
      </c>
      <c r="AA24" s="243">
        <f t="shared" si="11"/>
        <v>0</v>
      </c>
      <c r="AB24" s="243">
        <f t="shared" si="12"/>
        <v>0</v>
      </c>
      <c r="AC24" s="243">
        <f t="shared" si="13"/>
      </c>
      <c r="AD24" s="243">
        <f t="shared" si="14"/>
        <v>0</v>
      </c>
      <c r="AE24" s="243">
        <f t="shared" si="15"/>
        <v>0</v>
      </c>
      <c r="AF24" s="243" t="str">
        <f t="shared" si="16"/>
        <v>Gressner, Thomas</v>
      </c>
    </row>
    <row r="25" spans="1:32" s="230" customFormat="1" ht="3" customHeight="1" thickTop="1">
      <c r="A25" s="247"/>
      <c r="B25" s="248"/>
      <c r="C25" s="216"/>
      <c r="D25" s="216"/>
      <c r="E25" s="249"/>
      <c r="F25" s="216"/>
      <c r="G25" s="216"/>
      <c r="H25" s="249"/>
      <c r="I25" s="216"/>
      <c r="J25" s="216"/>
      <c r="K25" s="249"/>
      <c r="L25" s="216"/>
      <c r="M25" s="216"/>
      <c r="N25" s="249"/>
      <c r="O25" s="216"/>
      <c r="P25" s="216"/>
      <c r="Q25" s="249"/>
      <c r="R25" s="233"/>
      <c r="S25" s="233"/>
      <c r="T25" s="243"/>
      <c r="U25" s="250"/>
      <c r="V25" s="250"/>
      <c r="W25" s="243"/>
      <c r="X25" s="250"/>
      <c r="Y25" s="250"/>
      <c r="Z25" s="243"/>
      <c r="AA25" s="250"/>
      <c r="AB25" s="250"/>
      <c r="AC25" s="243"/>
      <c r="AD25" s="250"/>
      <c r="AE25" s="250"/>
      <c r="AF25" s="243"/>
    </row>
    <row r="26" spans="1:32" s="224" customFormat="1" ht="18" customHeight="1" hidden="1">
      <c r="A26" s="251"/>
      <c r="B26" s="251">
        <v>22</v>
      </c>
      <c r="C26" s="233">
        <f>F13</f>
      </c>
      <c r="D26" s="233">
        <f>G13</f>
      </c>
      <c r="E26" s="233" t="str">
        <f>H13</f>
        <v>Steenken, Holger</v>
      </c>
      <c r="F26" s="216"/>
      <c r="G26" s="216"/>
      <c r="H26" s="233"/>
      <c r="I26" s="216"/>
      <c r="J26" s="216"/>
      <c r="K26" s="233"/>
      <c r="L26" s="216"/>
      <c r="M26" s="216"/>
      <c r="N26" s="233"/>
      <c r="O26" s="216"/>
      <c r="P26" s="216"/>
      <c r="Q26" s="233"/>
      <c r="R26" s="233"/>
      <c r="S26" s="233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</row>
    <row r="27" spans="1:32" s="224" customFormat="1" ht="18" customHeight="1" hidden="1">
      <c r="A27" s="251"/>
      <c r="B27" s="251">
        <v>23</v>
      </c>
      <c r="C27" s="233">
        <f aca="true" t="shared" si="17" ref="C27:C37">F14</f>
      </c>
      <c r="D27" s="233">
        <f aca="true" t="shared" si="18" ref="D27:D37">G14</f>
      </c>
      <c r="E27" s="233" t="str">
        <f aca="true" t="shared" si="19" ref="E27:E37">H14</f>
        <v>Tabke, Klaus</v>
      </c>
      <c r="F27" s="216"/>
      <c r="G27" s="216"/>
      <c r="H27" s="233"/>
      <c r="I27" s="216"/>
      <c r="J27" s="216"/>
      <c r="K27" s="233"/>
      <c r="L27" s="216"/>
      <c r="M27" s="216"/>
      <c r="N27" s="233"/>
      <c r="O27" s="216"/>
      <c r="P27" s="216"/>
      <c r="Q27" s="233"/>
      <c r="R27" s="233"/>
      <c r="S27" s="233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</row>
    <row r="28" spans="1:32" s="224" customFormat="1" ht="18" customHeight="1" hidden="1">
      <c r="A28" s="251"/>
      <c r="B28" s="251">
        <v>24</v>
      </c>
      <c r="C28" s="233">
        <f t="shared" si="17"/>
      </c>
      <c r="D28" s="233">
        <f t="shared" si="18"/>
      </c>
      <c r="E28" s="233" t="str">
        <f t="shared" si="19"/>
        <v>Lange, Rainer</v>
      </c>
      <c r="F28" s="216"/>
      <c r="G28" s="216"/>
      <c r="H28" s="233"/>
      <c r="I28" s="216"/>
      <c r="J28" s="216"/>
      <c r="K28" s="233"/>
      <c r="L28" s="216"/>
      <c r="M28" s="216"/>
      <c r="N28" s="233"/>
      <c r="O28" s="216"/>
      <c r="P28" s="216"/>
      <c r="Q28" s="233"/>
      <c r="R28" s="233"/>
      <c r="S28" s="233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</row>
    <row r="29" spans="1:32" s="224" customFormat="1" ht="18" customHeight="1" hidden="1">
      <c r="A29" s="251"/>
      <c r="B29" s="251">
        <v>25</v>
      </c>
      <c r="C29" s="233">
        <f t="shared" si="17"/>
      </c>
      <c r="D29" s="233">
        <f t="shared" si="18"/>
      </c>
      <c r="E29" s="233" t="str">
        <f t="shared" si="19"/>
        <v>Schelling, Hergen</v>
      </c>
      <c r="F29" s="216"/>
      <c r="G29" s="216"/>
      <c r="H29" s="233"/>
      <c r="I29" s="216"/>
      <c r="J29" s="216"/>
      <c r="K29" s="233"/>
      <c r="L29" s="216"/>
      <c r="M29" s="216"/>
      <c r="N29" s="233"/>
      <c r="O29" s="216"/>
      <c r="P29" s="216"/>
      <c r="Q29" s="233"/>
      <c r="R29" s="233"/>
      <c r="S29" s="233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</row>
    <row r="30" spans="1:32" s="224" customFormat="1" ht="18" customHeight="1" hidden="1">
      <c r="A30" s="251"/>
      <c r="B30" s="251">
        <v>26</v>
      </c>
      <c r="C30" s="233">
        <f t="shared" si="17"/>
      </c>
      <c r="D30" s="233" t="str">
        <f t="shared" si="18"/>
        <v>X</v>
      </c>
      <c r="E30" s="233" t="str">
        <f t="shared" si="19"/>
        <v>Kläner, Uwe</v>
      </c>
      <c r="F30" s="216"/>
      <c r="G30" s="216"/>
      <c r="H30" s="233"/>
      <c r="I30" s="216"/>
      <c r="J30" s="216"/>
      <c r="K30" s="233"/>
      <c r="L30" s="216"/>
      <c r="M30" s="216"/>
      <c r="N30" s="233"/>
      <c r="O30" s="216"/>
      <c r="P30" s="216"/>
      <c r="Q30" s="233"/>
      <c r="R30" s="233"/>
      <c r="S30" s="233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</row>
    <row r="31" spans="1:32" s="224" customFormat="1" ht="18" customHeight="1" hidden="1">
      <c r="A31" s="251"/>
      <c r="B31" s="251">
        <v>27</v>
      </c>
      <c r="C31" s="233">
        <f t="shared" si="17"/>
      </c>
      <c r="D31" s="233">
        <f t="shared" si="18"/>
      </c>
      <c r="E31" s="233" t="str">
        <f t="shared" si="19"/>
        <v>Kläner, Frank</v>
      </c>
      <c r="F31" s="216"/>
      <c r="G31" s="216"/>
      <c r="H31" s="233"/>
      <c r="I31" s="216"/>
      <c r="J31" s="216"/>
      <c r="K31" s="233"/>
      <c r="L31" s="216"/>
      <c r="M31" s="216"/>
      <c r="N31" s="233"/>
      <c r="O31" s="216"/>
      <c r="P31" s="216"/>
      <c r="Q31" s="233"/>
      <c r="R31" s="233"/>
      <c r="S31" s="233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</row>
    <row r="32" spans="1:32" s="224" customFormat="1" ht="18" customHeight="1" hidden="1">
      <c r="A32" s="251"/>
      <c r="B32" s="251">
        <v>28</v>
      </c>
      <c r="C32" s="233">
        <f t="shared" si="17"/>
      </c>
      <c r="D32" s="233">
        <f t="shared" si="18"/>
      </c>
      <c r="E32" s="233" t="str">
        <f t="shared" si="19"/>
        <v>Röpken, Holger</v>
      </c>
      <c r="F32" s="216"/>
      <c r="G32" s="216"/>
      <c r="H32" s="233"/>
      <c r="I32" s="216"/>
      <c r="J32" s="216"/>
      <c r="K32" s="233"/>
      <c r="L32" s="216"/>
      <c r="M32" s="216"/>
      <c r="N32" s="233"/>
      <c r="O32" s="216"/>
      <c r="P32" s="216"/>
      <c r="Q32" s="233"/>
      <c r="R32" s="233"/>
      <c r="S32" s="233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</row>
    <row r="33" spans="1:32" s="224" customFormat="1" ht="18" customHeight="1" hidden="1">
      <c r="A33" s="251"/>
      <c r="B33" s="251">
        <v>29</v>
      </c>
      <c r="C33" s="233">
        <f t="shared" si="17"/>
      </c>
      <c r="D33" s="233">
        <f t="shared" si="18"/>
      </c>
      <c r="E33" s="233">
        <f t="shared" si="19"/>
      </c>
      <c r="F33" s="216"/>
      <c r="G33" s="216"/>
      <c r="H33" s="233"/>
      <c r="I33" s="216"/>
      <c r="J33" s="216"/>
      <c r="K33" s="233"/>
      <c r="L33" s="216"/>
      <c r="M33" s="216"/>
      <c r="N33" s="233"/>
      <c r="O33" s="216"/>
      <c r="P33" s="216"/>
      <c r="Q33" s="233"/>
      <c r="R33" s="233"/>
      <c r="S33" s="233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</row>
    <row r="34" spans="1:32" s="224" customFormat="1" ht="18" customHeight="1" hidden="1">
      <c r="A34" s="251"/>
      <c r="B34" s="251">
        <v>30</v>
      </c>
      <c r="C34" s="233">
        <f t="shared" si="17"/>
      </c>
      <c r="D34" s="233">
        <f t="shared" si="18"/>
      </c>
      <c r="E34" s="233">
        <f t="shared" si="19"/>
      </c>
      <c r="F34" s="216"/>
      <c r="G34" s="216"/>
      <c r="H34" s="233"/>
      <c r="I34" s="216"/>
      <c r="J34" s="216"/>
      <c r="K34" s="233"/>
      <c r="L34" s="216"/>
      <c r="M34" s="216"/>
      <c r="N34" s="233"/>
      <c r="O34" s="216"/>
      <c r="P34" s="216"/>
      <c r="Q34" s="233"/>
      <c r="R34" s="233"/>
      <c r="S34" s="233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</row>
    <row r="35" spans="1:32" s="224" customFormat="1" ht="18" customHeight="1" hidden="1">
      <c r="A35" s="251"/>
      <c r="B35" s="251">
        <v>31</v>
      </c>
      <c r="C35" s="233">
        <f t="shared" si="17"/>
      </c>
      <c r="D35" s="233">
        <f t="shared" si="18"/>
      </c>
      <c r="E35" s="233">
        <f t="shared" si="19"/>
      </c>
      <c r="F35" s="216"/>
      <c r="G35" s="216"/>
      <c r="H35" s="233"/>
      <c r="I35" s="216"/>
      <c r="J35" s="216"/>
      <c r="K35" s="233"/>
      <c r="L35" s="216"/>
      <c r="M35" s="216"/>
      <c r="N35" s="233"/>
      <c r="O35" s="216"/>
      <c r="P35" s="216"/>
      <c r="Q35" s="233"/>
      <c r="R35" s="233"/>
      <c r="S35" s="233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</row>
    <row r="36" spans="1:32" s="224" customFormat="1" ht="18" customHeight="1" hidden="1">
      <c r="A36" s="251"/>
      <c r="B36" s="251">
        <v>32</v>
      </c>
      <c r="C36" s="233">
        <f t="shared" si="17"/>
        <v>0</v>
      </c>
      <c r="D36" s="233">
        <f t="shared" si="18"/>
        <v>0</v>
      </c>
      <c r="E36" s="233">
        <f t="shared" si="19"/>
      </c>
      <c r="F36" s="216"/>
      <c r="G36" s="216"/>
      <c r="H36" s="233"/>
      <c r="I36" s="216"/>
      <c r="J36" s="216"/>
      <c r="K36" s="233"/>
      <c r="L36" s="216"/>
      <c r="M36" s="216"/>
      <c r="N36" s="233"/>
      <c r="O36" s="216"/>
      <c r="P36" s="216"/>
      <c r="Q36" s="233"/>
      <c r="R36" s="233"/>
      <c r="S36" s="233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</row>
    <row r="37" spans="1:32" s="224" customFormat="1" ht="18" customHeight="1" hidden="1">
      <c r="A37" s="251"/>
      <c r="B37" s="251">
        <v>33</v>
      </c>
      <c r="C37" s="233">
        <f t="shared" si="17"/>
        <v>0</v>
      </c>
      <c r="D37" s="233">
        <f t="shared" si="18"/>
        <v>0</v>
      </c>
      <c r="E37" s="233">
        <f t="shared" si="19"/>
      </c>
      <c r="F37" s="216"/>
      <c r="G37" s="216"/>
      <c r="H37" s="233"/>
      <c r="I37" s="216"/>
      <c r="J37" s="216"/>
      <c r="K37" s="233"/>
      <c r="L37" s="216"/>
      <c r="M37" s="216"/>
      <c r="N37" s="233"/>
      <c r="O37" s="216"/>
      <c r="P37" s="216"/>
      <c r="Q37" s="233"/>
      <c r="R37" s="233"/>
      <c r="S37" s="233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</row>
    <row r="38" spans="1:32" s="224" customFormat="1" ht="18" customHeight="1" hidden="1">
      <c r="A38" s="251"/>
      <c r="B38" s="251"/>
      <c r="C38" s="233"/>
      <c r="D38" s="233"/>
      <c r="E38" s="233"/>
      <c r="F38" s="216"/>
      <c r="G38" s="216"/>
      <c r="H38" s="233"/>
      <c r="I38" s="216"/>
      <c r="J38" s="216"/>
      <c r="K38" s="233"/>
      <c r="L38" s="216"/>
      <c r="M38" s="216"/>
      <c r="N38" s="233"/>
      <c r="O38" s="216"/>
      <c r="P38" s="216"/>
      <c r="Q38" s="233"/>
      <c r="R38" s="233"/>
      <c r="S38" s="233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</row>
    <row r="39" spans="1:32" s="224" customFormat="1" ht="18" customHeight="1" hidden="1">
      <c r="A39" s="251"/>
      <c r="B39" s="251">
        <v>34</v>
      </c>
      <c r="C39" s="233">
        <f>I13</f>
        <v>5</v>
      </c>
      <c r="D39" s="233" t="str">
        <f>J13</f>
        <v>X</v>
      </c>
      <c r="E39" s="233" t="str">
        <f>K13</f>
        <v>Lilienthal, Ralf</v>
      </c>
      <c r="F39" s="216"/>
      <c r="G39" s="216"/>
      <c r="H39" s="233"/>
      <c r="I39" s="216"/>
      <c r="J39" s="216"/>
      <c r="K39" s="233"/>
      <c r="L39" s="216"/>
      <c r="M39" s="216"/>
      <c r="N39" s="233"/>
      <c r="O39" s="216"/>
      <c r="P39" s="216"/>
      <c r="Q39" s="233"/>
      <c r="R39" s="233"/>
      <c r="S39" s="233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</row>
    <row r="40" spans="1:32" s="224" customFormat="1" ht="18" customHeight="1" hidden="1">
      <c r="A40" s="251"/>
      <c r="B40" s="251">
        <v>35</v>
      </c>
      <c r="C40" s="233">
        <f aca="true" t="shared" si="20" ref="C40:C50">I14</f>
        <v>7</v>
      </c>
      <c r="D40" s="233">
        <f aca="true" t="shared" si="21" ref="D40:D50">J14</f>
      </c>
      <c r="E40" s="233" t="str">
        <f aca="true" t="shared" si="22" ref="E40:E50">K14</f>
        <v>Zehnle, Harald</v>
      </c>
      <c r="F40" s="216"/>
      <c r="G40" s="216"/>
      <c r="H40" s="233"/>
      <c r="I40" s="216"/>
      <c r="J40" s="216"/>
      <c r="K40" s="233"/>
      <c r="L40" s="216"/>
      <c r="M40" s="216"/>
      <c r="N40" s="233"/>
      <c r="O40" s="216"/>
      <c r="P40" s="216"/>
      <c r="Q40" s="233"/>
      <c r="R40" s="233"/>
      <c r="S40" s="233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</row>
    <row r="41" spans="1:32" s="224" customFormat="1" ht="18" customHeight="1" hidden="1">
      <c r="A41" s="251"/>
      <c r="B41" s="251">
        <v>36</v>
      </c>
      <c r="C41" s="233">
        <f t="shared" si="20"/>
        <v>3</v>
      </c>
      <c r="D41" s="233">
        <f t="shared" si="21"/>
      </c>
      <c r="E41" s="233" t="str">
        <f t="shared" si="22"/>
        <v>Trautnitz, Hans</v>
      </c>
      <c r="F41" s="216"/>
      <c r="G41" s="216"/>
      <c r="H41" s="233"/>
      <c r="I41" s="216"/>
      <c r="J41" s="216"/>
      <c r="K41" s="233"/>
      <c r="L41" s="216"/>
      <c r="M41" s="216"/>
      <c r="N41" s="233"/>
      <c r="O41" s="216"/>
      <c r="P41" s="216"/>
      <c r="Q41" s="233"/>
      <c r="R41" s="233"/>
      <c r="S41" s="233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</row>
    <row r="42" spans="1:32" s="224" customFormat="1" ht="18" customHeight="1" hidden="1">
      <c r="A42" s="251"/>
      <c r="B42" s="251">
        <v>37</v>
      </c>
      <c r="C42" s="233">
        <f t="shared" si="20"/>
        <v>8</v>
      </c>
      <c r="D42" s="233">
        <f t="shared" si="21"/>
      </c>
      <c r="E42" s="233" t="str">
        <f t="shared" si="22"/>
        <v>Nuvolin, Thomas</v>
      </c>
      <c r="F42" s="216"/>
      <c r="G42" s="216"/>
      <c r="H42" s="233"/>
      <c r="I42" s="216"/>
      <c r="J42" s="216"/>
      <c r="K42" s="233"/>
      <c r="L42" s="216"/>
      <c r="M42" s="216"/>
      <c r="N42" s="233"/>
      <c r="O42" s="216"/>
      <c r="P42" s="216"/>
      <c r="Q42" s="233"/>
      <c r="R42" s="233"/>
      <c r="S42" s="233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</row>
    <row r="43" spans="1:32" s="224" customFormat="1" ht="18" customHeight="1" hidden="1">
      <c r="A43" s="251"/>
      <c r="B43" s="251">
        <v>38</v>
      </c>
      <c r="C43" s="233">
        <f t="shared" si="20"/>
        <v>10</v>
      </c>
      <c r="D43" s="233">
        <f t="shared" si="21"/>
      </c>
      <c r="E43" s="233" t="str">
        <f t="shared" si="22"/>
        <v>Müncheberg, Stefan</v>
      </c>
      <c r="F43" s="216"/>
      <c r="G43" s="216"/>
      <c r="H43" s="233"/>
      <c r="I43" s="216"/>
      <c r="J43" s="216"/>
      <c r="K43" s="233"/>
      <c r="L43" s="216"/>
      <c r="M43" s="216"/>
      <c r="N43" s="233"/>
      <c r="O43" s="216"/>
      <c r="P43" s="216"/>
      <c r="Q43" s="233"/>
      <c r="R43" s="233"/>
      <c r="S43" s="233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</row>
    <row r="44" spans="1:32" s="224" customFormat="1" ht="18" customHeight="1" hidden="1">
      <c r="A44" s="251"/>
      <c r="B44" s="251">
        <v>39</v>
      </c>
      <c r="C44" s="233">
        <f t="shared" si="20"/>
        <v>12</v>
      </c>
      <c r="D44" s="233">
        <f t="shared" si="21"/>
      </c>
      <c r="E44" s="233" t="str">
        <f t="shared" si="22"/>
        <v>Kemming, Michael</v>
      </c>
      <c r="F44" s="216"/>
      <c r="G44" s="216"/>
      <c r="H44" s="233"/>
      <c r="I44" s="216"/>
      <c r="J44" s="216"/>
      <c r="K44" s="233"/>
      <c r="L44" s="216"/>
      <c r="M44" s="216"/>
      <c r="N44" s="233"/>
      <c r="O44" s="216"/>
      <c r="P44" s="216"/>
      <c r="Q44" s="233"/>
      <c r="R44" s="233"/>
      <c r="S44" s="233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</row>
    <row r="45" spans="1:32" s="224" customFormat="1" ht="18" customHeight="1" hidden="1">
      <c r="A45" s="251"/>
      <c r="B45" s="251">
        <v>40</v>
      </c>
      <c r="C45" s="233">
        <f t="shared" si="20"/>
      </c>
      <c r="D45" s="233">
        <f t="shared" si="21"/>
      </c>
      <c r="E45" s="233">
        <f t="shared" si="22"/>
      </c>
      <c r="F45" s="216"/>
      <c r="G45" s="216"/>
      <c r="H45" s="233"/>
      <c r="I45" s="216"/>
      <c r="J45" s="216"/>
      <c r="K45" s="233"/>
      <c r="L45" s="216"/>
      <c r="M45" s="216"/>
      <c r="N45" s="233"/>
      <c r="O45" s="216"/>
      <c r="P45" s="216"/>
      <c r="Q45" s="233"/>
      <c r="R45" s="233"/>
      <c r="S45" s="233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</row>
    <row r="46" spans="1:32" s="224" customFormat="1" ht="18" customHeight="1" hidden="1">
      <c r="A46" s="251"/>
      <c r="B46" s="251">
        <v>41</v>
      </c>
      <c r="C46" s="233">
        <f t="shared" si="20"/>
      </c>
      <c r="D46" s="233">
        <f t="shared" si="21"/>
      </c>
      <c r="E46" s="233">
        <f t="shared" si="22"/>
      </c>
      <c r="F46" s="216"/>
      <c r="G46" s="216"/>
      <c r="H46" s="233"/>
      <c r="I46" s="216"/>
      <c r="J46" s="216"/>
      <c r="K46" s="233"/>
      <c r="L46" s="216"/>
      <c r="M46" s="216"/>
      <c r="N46" s="233"/>
      <c r="O46" s="216"/>
      <c r="P46" s="216"/>
      <c r="Q46" s="233"/>
      <c r="R46" s="233"/>
      <c r="S46" s="233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</row>
    <row r="47" spans="1:32" s="224" customFormat="1" ht="18" customHeight="1" hidden="1">
      <c r="A47" s="251"/>
      <c r="B47" s="251">
        <v>42</v>
      </c>
      <c r="C47" s="233">
        <f t="shared" si="20"/>
      </c>
      <c r="D47" s="233">
        <f t="shared" si="21"/>
      </c>
      <c r="E47" s="233">
        <f t="shared" si="22"/>
      </c>
      <c r="F47" s="216"/>
      <c r="G47" s="216"/>
      <c r="H47" s="233"/>
      <c r="I47" s="216"/>
      <c r="J47" s="216"/>
      <c r="K47" s="233"/>
      <c r="L47" s="216"/>
      <c r="M47" s="216"/>
      <c r="N47" s="233"/>
      <c r="O47" s="216"/>
      <c r="P47" s="216"/>
      <c r="Q47" s="233"/>
      <c r="R47" s="233"/>
      <c r="S47" s="233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</row>
    <row r="48" spans="1:32" s="224" customFormat="1" ht="18" customHeight="1" hidden="1">
      <c r="A48" s="251"/>
      <c r="B48" s="251">
        <v>43</v>
      </c>
      <c r="C48" s="233">
        <f t="shared" si="20"/>
      </c>
      <c r="D48" s="233">
        <f t="shared" si="21"/>
      </c>
      <c r="E48" s="233">
        <f t="shared" si="22"/>
      </c>
      <c r="F48" s="216"/>
      <c r="G48" s="216"/>
      <c r="H48" s="233"/>
      <c r="I48" s="216"/>
      <c r="J48" s="216"/>
      <c r="K48" s="233"/>
      <c r="L48" s="216"/>
      <c r="M48" s="216"/>
      <c r="N48" s="233"/>
      <c r="O48" s="216"/>
      <c r="P48" s="216"/>
      <c r="Q48" s="233"/>
      <c r="R48" s="233"/>
      <c r="S48" s="233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</row>
    <row r="49" spans="1:32" s="224" customFormat="1" ht="18" customHeight="1" hidden="1">
      <c r="A49" s="251"/>
      <c r="B49" s="251">
        <v>44</v>
      </c>
      <c r="C49" s="233">
        <f t="shared" si="20"/>
        <v>0</v>
      </c>
      <c r="D49" s="233">
        <f t="shared" si="21"/>
        <v>0</v>
      </c>
      <c r="E49" s="233">
        <f t="shared" si="22"/>
      </c>
      <c r="F49" s="216"/>
      <c r="G49" s="216"/>
      <c r="H49" s="233"/>
      <c r="I49" s="216"/>
      <c r="J49" s="216"/>
      <c r="K49" s="233"/>
      <c r="L49" s="216"/>
      <c r="M49" s="216"/>
      <c r="N49" s="233"/>
      <c r="O49" s="216"/>
      <c r="P49" s="216"/>
      <c r="Q49" s="233"/>
      <c r="R49" s="233"/>
      <c r="S49" s="233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</row>
    <row r="50" spans="1:32" s="224" customFormat="1" ht="18" customHeight="1" hidden="1">
      <c r="A50" s="251"/>
      <c r="B50" s="251">
        <v>45</v>
      </c>
      <c r="C50" s="233">
        <f t="shared" si="20"/>
        <v>0</v>
      </c>
      <c r="D50" s="233">
        <f t="shared" si="21"/>
        <v>0</v>
      </c>
      <c r="E50" s="233" t="str">
        <f t="shared" si="22"/>
        <v>Schwend, Reinhard</v>
      </c>
      <c r="F50" s="216"/>
      <c r="G50" s="216"/>
      <c r="H50" s="233"/>
      <c r="I50" s="216"/>
      <c r="J50" s="216"/>
      <c r="K50" s="233"/>
      <c r="L50" s="216"/>
      <c r="M50" s="216"/>
      <c r="N50" s="233"/>
      <c r="O50" s="216"/>
      <c r="P50" s="216"/>
      <c r="Q50" s="233"/>
      <c r="R50" s="233"/>
      <c r="S50" s="233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</row>
    <row r="51" spans="1:32" s="224" customFormat="1" ht="18" customHeight="1" hidden="1">
      <c r="A51" s="251"/>
      <c r="B51" s="251"/>
      <c r="C51" s="233"/>
      <c r="D51" s="233"/>
      <c r="E51" s="233"/>
      <c r="F51" s="216"/>
      <c r="G51" s="216"/>
      <c r="H51" s="233"/>
      <c r="I51" s="216"/>
      <c r="J51" s="216"/>
      <c r="K51" s="233"/>
      <c r="L51" s="216"/>
      <c r="M51" s="216"/>
      <c r="N51" s="233"/>
      <c r="O51" s="216"/>
      <c r="P51" s="216"/>
      <c r="Q51" s="233"/>
      <c r="R51" s="233"/>
      <c r="S51" s="233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</row>
    <row r="52" spans="1:32" s="224" customFormat="1" ht="18" customHeight="1" hidden="1">
      <c r="A52" s="251"/>
      <c r="B52" s="251">
        <v>46</v>
      </c>
      <c r="C52" s="233">
        <f>L13</f>
      </c>
      <c r="D52" s="233">
        <f>M13</f>
      </c>
      <c r="E52" s="233" t="str">
        <f>N13</f>
        <v>Mark, Karl-Heinz</v>
      </c>
      <c r="F52" s="216"/>
      <c r="G52" s="216"/>
      <c r="H52" s="233"/>
      <c r="I52" s="216"/>
      <c r="J52" s="216"/>
      <c r="K52" s="233"/>
      <c r="L52" s="216"/>
      <c r="M52" s="216"/>
      <c r="N52" s="233"/>
      <c r="O52" s="216"/>
      <c r="P52" s="216"/>
      <c r="Q52" s="233"/>
      <c r="R52" s="233"/>
      <c r="S52" s="233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</row>
    <row r="53" spans="1:32" s="224" customFormat="1" ht="18" customHeight="1" hidden="1">
      <c r="A53" s="251"/>
      <c r="B53" s="251">
        <v>47</v>
      </c>
      <c r="C53" s="233">
        <f aca="true" t="shared" si="23" ref="C53:C63">L14</f>
      </c>
      <c r="D53" s="233">
        <f aca="true" t="shared" si="24" ref="D53:D63">M14</f>
      </c>
      <c r="E53" s="233" t="str">
        <f aca="true" t="shared" si="25" ref="E53:E63">N14</f>
        <v>Siegler, Karlheinz</v>
      </c>
      <c r="F53" s="216"/>
      <c r="G53" s="216"/>
      <c r="H53" s="233"/>
      <c r="I53" s="216"/>
      <c r="J53" s="216"/>
      <c r="K53" s="233"/>
      <c r="L53" s="216"/>
      <c r="M53" s="216"/>
      <c r="N53" s="233"/>
      <c r="O53" s="216"/>
      <c r="P53" s="216"/>
      <c r="Q53" s="233"/>
      <c r="R53" s="233"/>
      <c r="S53" s="233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</row>
    <row r="54" spans="1:32" s="224" customFormat="1" ht="18" customHeight="1" hidden="1">
      <c r="A54" s="251"/>
      <c r="B54" s="251">
        <v>48</v>
      </c>
      <c r="C54" s="233">
        <f t="shared" si="23"/>
      </c>
      <c r="D54" s="233">
        <f t="shared" si="24"/>
      </c>
      <c r="E54" s="233" t="str">
        <f t="shared" si="25"/>
        <v>Ruhl, Hartmut</v>
      </c>
      <c r="F54" s="216"/>
      <c r="G54" s="216"/>
      <c r="H54" s="233"/>
      <c r="I54" s="216"/>
      <c r="J54" s="216"/>
      <c r="K54" s="233"/>
      <c r="L54" s="216"/>
      <c r="M54" s="216"/>
      <c r="N54" s="233"/>
      <c r="O54" s="216"/>
      <c r="P54" s="216"/>
      <c r="Q54" s="233"/>
      <c r="R54" s="233"/>
      <c r="S54" s="233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</row>
    <row r="55" spans="1:32" s="224" customFormat="1" ht="18" customHeight="1" hidden="1">
      <c r="A55" s="251"/>
      <c r="B55" s="251">
        <v>49</v>
      </c>
      <c r="C55" s="233">
        <f t="shared" si="23"/>
      </c>
      <c r="D55" s="233">
        <f t="shared" si="24"/>
      </c>
      <c r="E55" s="233" t="str">
        <f t="shared" si="25"/>
        <v>Sieber, Reinhold</v>
      </c>
      <c r="F55" s="216"/>
      <c r="G55" s="216"/>
      <c r="H55" s="233"/>
      <c r="I55" s="216"/>
      <c r="J55" s="216"/>
      <c r="K55" s="233"/>
      <c r="L55" s="216"/>
      <c r="M55" s="216"/>
      <c r="N55" s="233"/>
      <c r="O55" s="216"/>
      <c r="P55" s="216"/>
      <c r="Q55" s="233"/>
      <c r="R55" s="233"/>
      <c r="S55" s="233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</row>
    <row r="56" spans="1:32" s="224" customFormat="1" ht="18" customHeight="1" hidden="1">
      <c r="A56" s="251"/>
      <c r="B56" s="251">
        <v>50</v>
      </c>
      <c r="C56" s="233">
        <f t="shared" si="23"/>
      </c>
      <c r="D56" s="233">
        <f t="shared" si="24"/>
      </c>
      <c r="E56" s="233" t="str">
        <f t="shared" si="25"/>
        <v>Seidel, Hubert</v>
      </c>
      <c r="F56" s="216"/>
      <c r="G56" s="216"/>
      <c r="H56" s="233"/>
      <c r="I56" s="216"/>
      <c r="J56" s="216"/>
      <c r="K56" s="233"/>
      <c r="L56" s="216"/>
      <c r="M56" s="216"/>
      <c r="N56" s="233"/>
      <c r="O56" s="216"/>
      <c r="P56" s="216"/>
      <c r="Q56" s="233"/>
      <c r="R56" s="233"/>
      <c r="S56" s="233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</row>
    <row r="57" spans="1:32" s="224" customFormat="1" ht="18" customHeight="1" hidden="1">
      <c r="A57" s="251"/>
      <c r="B57" s="251">
        <v>51</v>
      </c>
      <c r="C57" s="233">
        <f t="shared" si="23"/>
      </c>
      <c r="D57" s="233">
        <f t="shared" si="24"/>
      </c>
      <c r="E57" s="233" t="str">
        <f t="shared" si="25"/>
        <v>Gernet, Siegfried</v>
      </c>
      <c r="F57" s="216"/>
      <c r="G57" s="216"/>
      <c r="H57" s="233"/>
      <c r="I57" s="216"/>
      <c r="J57" s="216"/>
      <c r="K57" s="233"/>
      <c r="L57" s="216"/>
      <c r="M57" s="216"/>
      <c r="N57" s="233"/>
      <c r="O57" s="216"/>
      <c r="P57" s="216"/>
      <c r="Q57" s="233"/>
      <c r="R57" s="233"/>
      <c r="S57" s="233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</row>
    <row r="58" spans="1:32" s="224" customFormat="1" ht="18" customHeight="1" hidden="1">
      <c r="A58" s="251"/>
      <c r="B58" s="251">
        <v>52</v>
      </c>
      <c r="C58" s="233">
        <f t="shared" si="23"/>
      </c>
      <c r="D58" s="233">
        <f t="shared" si="24"/>
      </c>
      <c r="E58" s="233" t="str">
        <f t="shared" si="25"/>
        <v>Frank, Reiner</v>
      </c>
      <c r="F58" s="216"/>
      <c r="G58" s="216"/>
      <c r="H58" s="233"/>
      <c r="I58" s="216"/>
      <c r="J58" s="216"/>
      <c r="K58" s="233"/>
      <c r="L58" s="216"/>
      <c r="M58" s="216"/>
      <c r="N58" s="233"/>
      <c r="O58" s="216"/>
      <c r="P58" s="216"/>
      <c r="Q58" s="233"/>
      <c r="R58" s="233"/>
      <c r="S58" s="233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</row>
    <row r="59" spans="1:32" s="224" customFormat="1" ht="18" customHeight="1" hidden="1">
      <c r="A59" s="251"/>
      <c r="B59" s="251">
        <v>53</v>
      </c>
      <c r="C59" s="233">
        <f t="shared" si="23"/>
      </c>
      <c r="D59" s="233" t="str">
        <f t="shared" si="24"/>
        <v>X</v>
      </c>
      <c r="E59" s="233" t="str">
        <f t="shared" si="25"/>
        <v>Leipold, Gerhard</v>
      </c>
      <c r="F59" s="216"/>
      <c r="G59" s="216"/>
      <c r="H59" s="233"/>
      <c r="I59" s="216"/>
      <c r="J59" s="216"/>
      <c r="K59" s="233"/>
      <c r="L59" s="216"/>
      <c r="M59" s="216"/>
      <c r="N59" s="233"/>
      <c r="O59" s="216"/>
      <c r="P59" s="216"/>
      <c r="Q59" s="233"/>
      <c r="R59" s="233"/>
      <c r="S59" s="233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</row>
    <row r="60" spans="1:32" s="224" customFormat="1" ht="18" customHeight="1" hidden="1">
      <c r="A60" s="251"/>
      <c r="B60" s="251">
        <v>54</v>
      </c>
      <c r="C60" s="233">
        <f t="shared" si="23"/>
      </c>
      <c r="D60" s="233">
        <f t="shared" si="24"/>
      </c>
      <c r="E60" s="233" t="str">
        <f t="shared" si="25"/>
        <v>Götz, Uwe</v>
      </c>
      <c r="F60" s="216"/>
      <c r="G60" s="216"/>
      <c r="H60" s="233"/>
      <c r="I60" s="216"/>
      <c r="J60" s="216"/>
      <c r="K60" s="233"/>
      <c r="L60" s="216"/>
      <c r="M60" s="216"/>
      <c r="N60" s="233"/>
      <c r="O60" s="216"/>
      <c r="P60" s="216"/>
      <c r="Q60" s="233"/>
      <c r="R60" s="233"/>
      <c r="S60" s="233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</row>
    <row r="61" spans="1:32" s="224" customFormat="1" ht="18" customHeight="1" hidden="1">
      <c r="A61" s="251"/>
      <c r="B61" s="251">
        <v>55</v>
      </c>
      <c r="C61" s="233">
        <f t="shared" si="23"/>
      </c>
      <c r="D61" s="233">
        <f t="shared" si="24"/>
      </c>
      <c r="E61" s="233" t="str">
        <f t="shared" si="25"/>
        <v>Hoffmann, Klaus</v>
      </c>
      <c r="F61" s="216"/>
      <c r="G61" s="216"/>
      <c r="H61" s="233"/>
      <c r="I61" s="216"/>
      <c r="J61" s="216"/>
      <c r="K61" s="233"/>
      <c r="L61" s="216"/>
      <c r="M61" s="216"/>
      <c r="N61" s="233"/>
      <c r="O61" s="216"/>
      <c r="P61" s="216"/>
      <c r="Q61" s="233"/>
      <c r="R61" s="233"/>
      <c r="S61" s="233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</row>
    <row r="62" spans="1:32" s="224" customFormat="1" ht="18" customHeight="1" hidden="1">
      <c r="A62" s="251"/>
      <c r="B62" s="251">
        <v>56</v>
      </c>
      <c r="C62" s="233">
        <f t="shared" si="23"/>
        <v>0</v>
      </c>
      <c r="D62" s="233">
        <f t="shared" si="24"/>
        <v>0</v>
      </c>
      <c r="E62" s="233">
        <f t="shared" si="25"/>
      </c>
      <c r="F62" s="216"/>
      <c r="G62" s="216"/>
      <c r="H62" s="233"/>
      <c r="I62" s="216"/>
      <c r="J62" s="216"/>
      <c r="K62" s="233"/>
      <c r="L62" s="216"/>
      <c r="M62" s="216"/>
      <c r="N62" s="233"/>
      <c r="O62" s="216"/>
      <c r="P62" s="216"/>
      <c r="Q62" s="233"/>
      <c r="R62" s="233"/>
      <c r="S62" s="233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</row>
    <row r="63" spans="1:32" s="224" customFormat="1" ht="18" customHeight="1" hidden="1">
      <c r="A63" s="251"/>
      <c r="B63" s="251">
        <v>57</v>
      </c>
      <c r="C63" s="233">
        <f t="shared" si="23"/>
        <v>0</v>
      </c>
      <c r="D63" s="233">
        <f t="shared" si="24"/>
        <v>0</v>
      </c>
      <c r="E63" s="233">
        <f t="shared" si="25"/>
      </c>
      <c r="F63" s="216"/>
      <c r="G63" s="216"/>
      <c r="H63" s="233"/>
      <c r="I63" s="216"/>
      <c r="J63" s="216"/>
      <c r="K63" s="233"/>
      <c r="L63" s="216"/>
      <c r="M63" s="216"/>
      <c r="N63" s="233"/>
      <c r="O63" s="216"/>
      <c r="P63" s="216"/>
      <c r="Q63" s="233"/>
      <c r="R63" s="233"/>
      <c r="S63" s="233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</row>
    <row r="64" spans="1:32" s="224" customFormat="1" ht="18" customHeight="1" hidden="1">
      <c r="A64" s="251"/>
      <c r="B64" s="251"/>
      <c r="C64" s="233"/>
      <c r="D64" s="233"/>
      <c r="E64" s="233"/>
      <c r="F64" s="216"/>
      <c r="G64" s="216"/>
      <c r="H64" s="233"/>
      <c r="I64" s="216"/>
      <c r="J64" s="216"/>
      <c r="K64" s="233"/>
      <c r="L64" s="216"/>
      <c r="M64" s="216"/>
      <c r="N64" s="233"/>
      <c r="O64" s="216"/>
      <c r="P64" s="216"/>
      <c r="Q64" s="233"/>
      <c r="R64" s="233"/>
      <c r="S64" s="233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</row>
    <row r="65" spans="1:32" s="224" customFormat="1" ht="18" customHeight="1" hidden="1">
      <c r="A65" s="251"/>
      <c r="B65" s="251">
        <v>58</v>
      </c>
      <c r="C65" s="233">
        <f>O13</f>
      </c>
      <c r="D65" s="233">
        <f>P13</f>
      </c>
      <c r="E65" s="233" t="str">
        <f>Q13</f>
        <v>Barnickel, Thomas</v>
      </c>
      <c r="F65" s="216"/>
      <c r="G65" s="216"/>
      <c r="H65" s="233"/>
      <c r="I65" s="216"/>
      <c r="J65" s="216"/>
      <c r="K65" s="233"/>
      <c r="L65" s="216"/>
      <c r="M65" s="216"/>
      <c r="N65" s="233"/>
      <c r="O65" s="216"/>
      <c r="P65" s="216"/>
      <c r="Q65" s="233"/>
      <c r="R65" s="233"/>
      <c r="S65" s="233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</row>
    <row r="66" spans="1:32" s="224" customFormat="1" ht="18" customHeight="1" hidden="1">
      <c r="A66" s="251"/>
      <c r="B66" s="251">
        <v>59</v>
      </c>
      <c r="C66" s="233">
        <f aca="true" t="shared" si="26" ref="C66:C76">O14</f>
      </c>
      <c r="D66" s="233">
        <f aca="true" t="shared" si="27" ref="D66:D76">P14</f>
      </c>
      <c r="E66" s="233" t="str">
        <f aca="true" t="shared" si="28" ref="E66:E76">Q14</f>
        <v>Martin, Torsten</v>
      </c>
      <c r="F66" s="216"/>
      <c r="G66" s="216"/>
      <c r="H66" s="233"/>
      <c r="I66" s="216"/>
      <c r="J66" s="216"/>
      <c r="K66" s="233"/>
      <c r="L66" s="216"/>
      <c r="M66" s="216"/>
      <c r="N66" s="233"/>
      <c r="O66" s="216"/>
      <c r="P66" s="216"/>
      <c r="Q66" s="233"/>
      <c r="R66" s="233"/>
      <c r="S66" s="233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</row>
    <row r="67" spans="1:32" s="224" customFormat="1" ht="18" customHeight="1" hidden="1">
      <c r="A67" s="251"/>
      <c r="B67" s="251">
        <v>60</v>
      </c>
      <c r="C67" s="233">
        <f t="shared" si="26"/>
      </c>
      <c r="D67" s="233">
        <f t="shared" si="27"/>
      </c>
      <c r="E67" s="233" t="str">
        <f t="shared" si="28"/>
        <v>Koch, Hans-Peter</v>
      </c>
      <c r="F67" s="216"/>
      <c r="G67" s="216"/>
      <c r="H67" s="233"/>
      <c r="I67" s="216"/>
      <c r="J67" s="216"/>
      <c r="K67" s="233"/>
      <c r="L67" s="216"/>
      <c r="M67" s="216"/>
      <c r="N67" s="233"/>
      <c r="O67" s="216"/>
      <c r="P67" s="216"/>
      <c r="Q67" s="233"/>
      <c r="R67" s="233"/>
      <c r="S67" s="233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</row>
    <row r="68" spans="1:32" s="224" customFormat="1" ht="18" customHeight="1" hidden="1">
      <c r="A68" s="251"/>
      <c r="B68" s="251">
        <v>61</v>
      </c>
      <c r="C68" s="233">
        <f t="shared" si="26"/>
      </c>
      <c r="D68" s="233">
        <f t="shared" si="27"/>
      </c>
      <c r="E68" s="233" t="str">
        <f t="shared" si="28"/>
        <v>Naumann, Thomas</v>
      </c>
      <c r="F68" s="216"/>
      <c r="G68" s="216"/>
      <c r="H68" s="233"/>
      <c r="I68" s="216"/>
      <c r="J68" s="216"/>
      <c r="K68" s="233"/>
      <c r="L68" s="216"/>
      <c r="M68" s="216"/>
      <c r="N68" s="233"/>
      <c r="O68" s="216"/>
      <c r="P68" s="216"/>
      <c r="Q68" s="233"/>
      <c r="R68" s="233"/>
      <c r="S68" s="233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</row>
    <row r="69" spans="1:32" s="224" customFormat="1" ht="18" customHeight="1" hidden="1">
      <c r="A69" s="251"/>
      <c r="B69" s="251">
        <v>62</v>
      </c>
      <c r="C69" s="233">
        <f t="shared" si="26"/>
      </c>
      <c r="D69" s="233" t="str">
        <f t="shared" si="27"/>
        <v>x</v>
      </c>
      <c r="E69" s="233" t="str">
        <f t="shared" si="28"/>
        <v>Vogelpohl, Lutz</v>
      </c>
      <c r="F69" s="216"/>
      <c r="G69" s="216"/>
      <c r="H69" s="233"/>
      <c r="I69" s="216"/>
      <c r="J69" s="216"/>
      <c r="K69" s="233"/>
      <c r="L69" s="216"/>
      <c r="M69" s="216"/>
      <c r="N69" s="233"/>
      <c r="O69" s="216"/>
      <c r="P69" s="216"/>
      <c r="Q69" s="233"/>
      <c r="R69" s="233"/>
      <c r="S69" s="233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</row>
    <row r="70" spans="1:32" s="224" customFormat="1" ht="18" customHeight="1" hidden="1">
      <c r="A70" s="251"/>
      <c r="B70" s="251">
        <v>63</v>
      </c>
      <c r="C70" s="233">
        <f t="shared" si="26"/>
      </c>
      <c r="D70" s="233">
        <f t="shared" si="27"/>
      </c>
      <c r="E70" s="233" t="str">
        <f t="shared" si="28"/>
        <v>Reinhardt, Steffen</v>
      </c>
      <c r="F70" s="216"/>
      <c r="G70" s="216"/>
      <c r="H70" s="233"/>
      <c r="I70" s="216"/>
      <c r="J70" s="216"/>
      <c r="K70" s="233"/>
      <c r="L70" s="216"/>
      <c r="M70" s="216"/>
      <c r="N70" s="233"/>
      <c r="O70" s="216"/>
      <c r="P70" s="216"/>
      <c r="Q70" s="233"/>
      <c r="R70" s="233"/>
      <c r="S70" s="233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</row>
    <row r="71" spans="1:32" s="224" customFormat="1" ht="18" customHeight="1" hidden="1">
      <c r="A71" s="251"/>
      <c r="B71" s="251">
        <v>64</v>
      </c>
      <c r="C71" s="233">
        <f t="shared" si="26"/>
      </c>
      <c r="D71" s="233">
        <f t="shared" si="27"/>
      </c>
      <c r="E71" s="233">
        <f t="shared" si="28"/>
      </c>
      <c r="F71" s="216"/>
      <c r="G71" s="216"/>
      <c r="H71" s="233"/>
      <c r="I71" s="216"/>
      <c r="J71" s="216"/>
      <c r="K71" s="233"/>
      <c r="L71" s="216"/>
      <c r="M71" s="216"/>
      <c r="N71" s="233"/>
      <c r="O71" s="216"/>
      <c r="P71" s="216"/>
      <c r="Q71" s="233"/>
      <c r="R71" s="233"/>
      <c r="S71" s="233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</row>
    <row r="72" spans="1:32" s="224" customFormat="1" ht="18" customHeight="1" hidden="1">
      <c r="A72" s="251"/>
      <c r="B72" s="251">
        <v>65</v>
      </c>
      <c r="C72" s="233">
        <f t="shared" si="26"/>
      </c>
      <c r="D72" s="233">
        <f t="shared" si="27"/>
      </c>
      <c r="E72" s="233">
        <f t="shared" si="28"/>
      </c>
      <c r="F72" s="216"/>
      <c r="G72" s="216"/>
      <c r="H72" s="233"/>
      <c r="I72" s="216"/>
      <c r="J72" s="216"/>
      <c r="K72" s="233"/>
      <c r="L72" s="216"/>
      <c r="M72" s="216"/>
      <c r="N72" s="233"/>
      <c r="O72" s="216"/>
      <c r="P72" s="216"/>
      <c r="Q72" s="233"/>
      <c r="R72" s="233"/>
      <c r="S72" s="233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</row>
    <row r="73" spans="1:32" s="224" customFormat="1" ht="18" customHeight="1" hidden="1">
      <c r="A73" s="251"/>
      <c r="B73" s="251">
        <v>66</v>
      </c>
      <c r="C73" s="233">
        <f t="shared" si="26"/>
      </c>
      <c r="D73" s="233">
        <f t="shared" si="27"/>
      </c>
      <c r="E73" s="233">
        <f t="shared" si="28"/>
      </c>
      <c r="F73" s="216"/>
      <c r="G73" s="216"/>
      <c r="H73" s="233"/>
      <c r="I73" s="216"/>
      <c r="J73" s="216"/>
      <c r="K73" s="233"/>
      <c r="L73" s="216"/>
      <c r="M73" s="216"/>
      <c r="N73" s="233"/>
      <c r="O73" s="216"/>
      <c r="P73" s="216"/>
      <c r="Q73" s="233"/>
      <c r="R73" s="233"/>
      <c r="S73" s="233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</row>
    <row r="74" spans="1:32" s="224" customFormat="1" ht="18" customHeight="1" hidden="1">
      <c r="A74" s="251"/>
      <c r="B74" s="251">
        <v>67</v>
      </c>
      <c r="C74" s="233">
        <f t="shared" si="26"/>
      </c>
      <c r="D74" s="233">
        <f t="shared" si="27"/>
      </c>
      <c r="E74" s="233">
        <f t="shared" si="28"/>
      </c>
      <c r="F74" s="216"/>
      <c r="G74" s="216"/>
      <c r="H74" s="233"/>
      <c r="I74" s="216"/>
      <c r="J74" s="216"/>
      <c r="K74" s="233"/>
      <c r="L74" s="216"/>
      <c r="M74" s="216"/>
      <c r="N74" s="233"/>
      <c r="O74" s="216"/>
      <c r="P74" s="216"/>
      <c r="Q74" s="233"/>
      <c r="R74" s="233"/>
      <c r="S74" s="233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</row>
    <row r="75" spans="1:32" s="224" customFormat="1" ht="18" customHeight="1" hidden="1">
      <c r="A75" s="251"/>
      <c r="B75" s="251">
        <v>68</v>
      </c>
      <c r="C75" s="233">
        <f t="shared" si="26"/>
        <v>0</v>
      </c>
      <c r="D75" s="233">
        <f t="shared" si="27"/>
        <v>0</v>
      </c>
      <c r="E75" s="233">
        <f t="shared" si="28"/>
      </c>
      <c r="F75" s="216"/>
      <c r="G75" s="216"/>
      <c r="H75" s="233"/>
      <c r="I75" s="216"/>
      <c r="J75" s="216"/>
      <c r="K75" s="233"/>
      <c r="L75" s="216"/>
      <c r="M75" s="216"/>
      <c r="N75" s="233"/>
      <c r="O75" s="216"/>
      <c r="P75" s="216"/>
      <c r="Q75" s="233"/>
      <c r="R75" s="233"/>
      <c r="S75" s="233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</row>
    <row r="76" spans="1:32" s="224" customFormat="1" ht="18" customHeight="1" hidden="1">
      <c r="A76" s="251"/>
      <c r="B76" s="251">
        <v>69</v>
      </c>
      <c r="C76" s="233">
        <f t="shared" si="26"/>
        <v>0</v>
      </c>
      <c r="D76" s="233">
        <f t="shared" si="27"/>
        <v>0</v>
      </c>
      <c r="E76" s="233">
        <f t="shared" si="28"/>
      </c>
      <c r="F76" s="216"/>
      <c r="G76" s="216"/>
      <c r="H76" s="233"/>
      <c r="I76" s="216"/>
      <c r="J76" s="216"/>
      <c r="K76" s="233"/>
      <c r="L76" s="216"/>
      <c r="M76" s="216"/>
      <c r="N76" s="233"/>
      <c r="O76" s="216"/>
      <c r="P76" s="216"/>
      <c r="Q76" s="233"/>
      <c r="R76" s="233"/>
      <c r="S76" s="233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</row>
    <row r="77" spans="1:32" s="224" customFormat="1" ht="18" customHeight="1" hidden="1">
      <c r="A77" s="251"/>
      <c r="B77" s="251"/>
      <c r="C77" s="233"/>
      <c r="D77" s="233"/>
      <c r="E77" s="233"/>
      <c r="F77" s="216"/>
      <c r="G77" s="216"/>
      <c r="H77" s="233"/>
      <c r="I77" s="216"/>
      <c r="J77" s="216"/>
      <c r="K77" s="233"/>
      <c r="L77" s="216"/>
      <c r="M77" s="216"/>
      <c r="N77" s="233"/>
      <c r="O77" s="216"/>
      <c r="P77" s="216"/>
      <c r="Q77" s="233"/>
      <c r="R77" s="233"/>
      <c r="S77" s="233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</row>
    <row r="78" spans="1:32" s="224" customFormat="1" ht="18" customHeight="1" hidden="1">
      <c r="A78" s="251"/>
      <c r="B78" s="251">
        <v>70</v>
      </c>
      <c r="C78" s="233">
        <f aca="true" t="shared" si="29" ref="C78:E89">C147</f>
      </c>
      <c r="D78" s="233">
        <f t="shared" si="29"/>
      </c>
      <c r="E78" s="233" t="str">
        <f t="shared" si="29"/>
        <v>Braun, Dietmar</v>
      </c>
      <c r="F78" s="216"/>
      <c r="G78" s="216"/>
      <c r="H78" s="233"/>
      <c r="I78" s="216"/>
      <c r="J78" s="216"/>
      <c r="K78" s="233"/>
      <c r="L78" s="216"/>
      <c r="M78" s="216"/>
      <c r="N78" s="233"/>
      <c r="O78" s="216"/>
      <c r="P78" s="216"/>
      <c r="Q78" s="233"/>
      <c r="R78" s="233"/>
      <c r="S78" s="233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</row>
    <row r="79" spans="1:32" s="224" customFormat="1" ht="18" customHeight="1" hidden="1">
      <c r="A79" s="251"/>
      <c r="B79" s="251">
        <v>71</v>
      </c>
      <c r="C79" s="233">
        <f t="shared" si="29"/>
      </c>
      <c r="D79" s="233">
        <f t="shared" si="29"/>
      </c>
      <c r="E79" s="233" t="str">
        <f t="shared" si="29"/>
        <v>Brust, Jürgen</v>
      </c>
      <c r="F79" s="216"/>
      <c r="G79" s="216"/>
      <c r="H79" s="233"/>
      <c r="I79" s="216"/>
      <c r="J79" s="216"/>
      <c r="K79" s="233"/>
      <c r="L79" s="216"/>
      <c r="M79" s="216"/>
      <c r="N79" s="233"/>
      <c r="O79" s="216"/>
      <c r="P79" s="216"/>
      <c r="Q79" s="233"/>
      <c r="R79" s="233"/>
      <c r="S79" s="233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</row>
    <row r="80" spans="1:32" s="224" customFormat="1" ht="18" customHeight="1" hidden="1">
      <c r="A80" s="251"/>
      <c r="B80" s="251">
        <v>72</v>
      </c>
      <c r="C80" s="233">
        <f t="shared" si="29"/>
      </c>
      <c r="D80" s="233">
        <f t="shared" si="29"/>
      </c>
      <c r="E80" s="233" t="str">
        <f t="shared" si="29"/>
        <v>Geibel, Peter</v>
      </c>
      <c r="F80" s="216"/>
      <c r="G80" s="216"/>
      <c r="H80" s="233"/>
      <c r="I80" s="216"/>
      <c r="J80" s="216"/>
      <c r="K80" s="233"/>
      <c r="L80" s="216"/>
      <c r="M80" s="216"/>
      <c r="N80" s="233"/>
      <c r="O80" s="216"/>
      <c r="P80" s="216"/>
      <c r="Q80" s="233"/>
      <c r="R80" s="233"/>
      <c r="S80" s="233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</row>
    <row r="81" spans="1:32" s="224" customFormat="1" ht="18" customHeight="1" hidden="1">
      <c r="A81" s="251"/>
      <c r="B81" s="251">
        <v>73</v>
      </c>
      <c r="C81" s="233">
        <f t="shared" si="29"/>
      </c>
      <c r="D81" s="233">
        <f t="shared" si="29"/>
      </c>
      <c r="E81" s="233" t="str">
        <f t="shared" si="29"/>
        <v>Haßler, Erik</v>
      </c>
      <c r="F81" s="216"/>
      <c r="G81" s="216"/>
      <c r="H81" s="233"/>
      <c r="I81" s="216"/>
      <c r="J81" s="216"/>
      <c r="K81" s="233"/>
      <c r="L81" s="216"/>
      <c r="M81" s="216"/>
      <c r="N81" s="233"/>
      <c r="O81" s="216"/>
      <c r="P81" s="216"/>
      <c r="Q81" s="233"/>
      <c r="R81" s="233"/>
      <c r="S81" s="233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</row>
    <row r="82" spans="1:32" s="224" customFormat="1" ht="18" customHeight="1" hidden="1">
      <c r="A82" s="251"/>
      <c r="B82" s="251">
        <v>74</v>
      </c>
      <c r="C82" s="233">
        <f t="shared" si="29"/>
      </c>
      <c r="D82" s="233">
        <f t="shared" si="29"/>
      </c>
      <c r="E82" s="233" t="str">
        <f t="shared" si="29"/>
        <v>Kneip, Swen</v>
      </c>
      <c r="F82" s="216"/>
      <c r="G82" s="216"/>
      <c r="H82" s="233"/>
      <c r="I82" s="216"/>
      <c r="J82" s="216"/>
      <c r="K82" s="233"/>
      <c r="L82" s="216"/>
      <c r="M82" s="216"/>
      <c r="N82" s="233"/>
      <c r="O82" s="216"/>
      <c r="P82" s="216"/>
      <c r="Q82" s="233"/>
      <c r="R82" s="233"/>
      <c r="S82" s="233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</row>
    <row r="83" spans="1:32" s="224" customFormat="1" ht="18" customHeight="1" hidden="1">
      <c r="A83" s="251"/>
      <c r="B83" s="251">
        <v>75</v>
      </c>
      <c r="C83" s="233">
        <f t="shared" si="29"/>
      </c>
      <c r="D83" s="233" t="str">
        <f t="shared" si="29"/>
        <v>X</v>
      </c>
      <c r="E83" s="233" t="str">
        <f t="shared" si="29"/>
        <v>Kneip, Lutz</v>
      </c>
      <c r="F83" s="216"/>
      <c r="G83" s="216"/>
      <c r="H83" s="233"/>
      <c r="I83" s="216"/>
      <c r="J83" s="216"/>
      <c r="K83" s="233"/>
      <c r="L83" s="216"/>
      <c r="M83" s="216"/>
      <c r="N83" s="233"/>
      <c r="O83" s="216"/>
      <c r="P83" s="216"/>
      <c r="Q83" s="233"/>
      <c r="R83" s="233"/>
      <c r="S83" s="233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</row>
    <row r="84" spans="1:32" s="224" customFormat="1" ht="18" customHeight="1" hidden="1">
      <c r="A84" s="251"/>
      <c r="B84" s="251">
        <v>76</v>
      </c>
      <c r="C84" s="233">
        <f t="shared" si="29"/>
      </c>
      <c r="D84" s="233">
        <f t="shared" si="29"/>
      </c>
      <c r="E84" s="233" t="str">
        <f t="shared" si="29"/>
        <v>Utta, Frank</v>
      </c>
      <c r="F84" s="216"/>
      <c r="G84" s="216"/>
      <c r="H84" s="233"/>
      <c r="I84" s="216"/>
      <c r="J84" s="216"/>
      <c r="K84" s="233"/>
      <c r="L84" s="216"/>
      <c r="M84" s="216"/>
      <c r="N84" s="233"/>
      <c r="O84" s="216"/>
      <c r="P84" s="216"/>
      <c r="Q84" s="233"/>
      <c r="R84" s="233"/>
      <c r="S84" s="233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</row>
    <row r="85" spans="1:32" s="224" customFormat="1" ht="18" customHeight="1" hidden="1">
      <c r="A85" s="251"/>
      <c r="B85" s="251">
        <v>77</v>
      </c>
      <c r="C85" s="233">
        <f t="shared" si="29"/>
      </c>
      <c r="D85" s="233">
        <f t="shared" si="29"/>
      </c>
      <c r="E85" s="233" t="str">
        <f t="shared" si="29"/>
        <v>Wagner, Stephan</v>
      </c>
      <c r="F85" s="216"/>
      <c r="G85" s="216"/>
      <c r="H85" s="233"/>
      <c r="I85" s="216"/>
      <c r="J85" s="216"/>
      <c r="K85" s="233"/>
      <c r="L85" s="216"/>
      <c r="M85" s="216"/>
      <c r="N85" s="233"/>
      <c r="O85" s="216"/>
      <c r="P85" s="216"/>
      <c r="Q85" s="233"/>
      <c r="R85" s="233"/>
      <c r="S85" s="233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</row>
    <row r="86" spans="1:32" s="224" customFormat="1" ht="18" customHeight="1" hidden="1">
      <c r="A86" s="251"/>
      <c r="B86" s="251">
        <v>78</v>
      </c>
      <c r="C86" s="233">
        <f t="shared" si="29"/>
      </c>
      <c r="D86" s="233">
        <f t="shared" si="29"/>
      </c>
      <c r="E86" s="233">
        <f t="shared" si="29"/>
      </c>
      <c r="F86" s="216"/>
      <c r="G86" s="216"/>
      <c r="H86" s="233"/>
      <c r="I86" s="216"/>
      <c r="J86" s="216"/>
      <c r="K86" s="233"/>
      <c r="L86" s="216"/>
      <c r="M86" s="216"/>
      <c r="N86" s="233"/>
      <c r="O86" s="216"/>
      <c r="P86" s="216"/>
      <c r="Q86" s="233"/>
      <c r="R86" s="233"/>
      <c r="S86" s="233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</row>
    <row r="87" spans="1:32" s="224" customFormat="1" ht="18" customHeight="1" hidden="1">
      <c r="A87" s="251"/>
      <c r="B87" s="251">
        <v>79</v>
      </c>
      <c r="C87" s="233">
        <f t="shared" si="29"/>
      </c>
      <c r="D87" s="233">
        <f t="shared" si="29"/>
      </c>
      <c r="E87" s="233">
        <f t="shared" si="29"/>
      </c>
      <c r="F87" s="216"/>
      <c r="G87" s="216"/>
      <c r="H87" s="233"/>
      <c r="I87" s="216"/>
      <c r="J87" s="216"/>
      <c r="K87" s="233"/>
      <c r="L87" s="216"/>
      <c r="M87" s="216"/>
      <c r="N87" s="233"/>
      <c r="O87" s="216"/>
      <c r="P87" s="216"/>
      <c r="Q87" s="233"/>
      <c r="R87" s="233"/>
      <c r="S87" s="233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</row>
    <row r="88" spans="1:32" s="224" customFormat="1" ht="18" customHeight="1" hidden="1">
      <c r="A88" s="251"/>
      <c r="B88" s="251">
        <v>80</v>
      </c>
      <c r="C88" s="233">
        <f t="shared" si="29"/>
        <v>0</v>
      </c>
      <c r="D88" s="233">
        <f t="shared" si="29"/>
        <v>0</v>
      </c>
      <c r="E88" s="233" t="str">
        <f t="shared" si="29"/>
        <v>Leutheuser, Heiko</v>
      </c>
      <c r="F88" s="216"/>
      <c r="G88" s="216"/>
      <c r="H88" s="233"/>
      <c r="I88" s="216"/>
      <c r="J88" s="216"/>
      <c r="K88" s="233"/>
      <c r="L88" s="216"/>
      <c r="M88" s="216"/>
      <c r="N88" s="233"/>
      <c r="O88" s="216"/>
      <c r="P88" s="216"/>
      <c r="Q88" s="233"/>
      <c r="R88" s="233"/>
      <c r="S88" s="233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</row>
    <row r="89" spans="1:32" s="224" customFormat="1" ht="18" customHeight="1" hidden="1">
      <c r="A89" s="251"/>
      <c r="B89" s="251">
        <v>81</v>
      </c>
      <c r="C89" s="233">
        <f t="shared" si="29"/>
        <v>0</v>
      </c>
      <c r="D89" s="233">
        <f t="shared" si="29"/>
        <v>0</v>
      </c>
      <c r="E89" s="233">
        <f t="shared" si="29"/>
      </c>
      <c r="F89" s="216"/>
      <c r="G89" s="216"/>
      <c r="H89" s="233"/>
      <c r="I89" s="216"/>
      <c r="J89" s="216"/>
      <c r="K89" s="233"/>
      <c r="L89" s="216"/>
      <c r="M89" s="216"/>
      <c r="N89" s="233"/>
      <c r="O89" s="216"/>
      <c r="P89" s="216"/>
      <c r="Q89" s="233"/>
      <c r="R89" s="233"/>
      <c r="S89" s="233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</row>
    <row r="90" spans="1:32" s="224" customFormat="1" ht="18" customHeight="1" hidden="1">
      <c r="A90" s="251"/>
      <c r="B90" s="251"/>
      <c r="C90" s="233"/>
      <c r="D90" s="233"/>
      <c r="E90" s="233"/>
      <c r="F90" s="216"/>
      <c r="G90" s="216"/>
      <c r="H90" s="233"/>
      <c r="I90" s="216"/>
      <c r="J90" s="216"/>
      <c r="K90" s="233"/>
      <c r="L90" s="216"/>
      <c r="M90" s="216"/>
      <c r="N90" s="233"/>
      <c r="O90" s="216"/>
      <c r="P90" s="216"/>
      <c r="Q90" s="233"/>
      <c r="R90" s="233"/>
      <c r="S90" s="233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</row>
    <row r="91" spans="1:32" s="224" customFormat="1" ht="18" customHeight="1" hidden="1">
      <c r="A91" s="251"/>
      <c r="B91" s="251">
        <v>82</v>
      </c>
      <c r="C91" s="233">
        <f>F147</f>
      </c>
      <c r="D91" s="233">
        <f>G147</f>
      </c>
      <c r="E91" s="233" t="str">
        <f>H147</f>
        <v>Zwinscher Bernd</v>
      </c>
      <c r="F91" s="216"/>
      <c r="G91" s="216"/>
      <c r="H91" s="233"/>
      <c r="I91" s="216"/>
      <c r="J91" s="216"/>
      <c r="K91" s="233"/>
      <c r="L91" s="216"/>
      <c r="M91" s="216"/>
      <c r="N91" s="233"/>
      <c r="O91" s="216"/>
      <c r="P91" s="216"/>
      <c r="Q91" s="233"/>
      <c r="R91" s="233"/>
      <c r="S91" s="233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</row>
    <row r="92" spans="1:32" s="224" customFormat="1" ht="18" customHeight="1" hidden="1">
      <c r="A92" s="251"/>
      <c r="B92" s="251">
        <v>83</v>
      </c>
      <c r="C92" s="233">
        <f aca="true" t="shared" si="30" ref="C92:C102">F148</f>
      </c>
      <c r="D92" s="233">
        <f aca="true" t="shared" si="31" ref="D92:D102">G148</f>
      </c>
      <c r="E92" s="233" t="str">
        <f aca="true" t="shared" si="32" ref="E92:E102">H148</f>
        <v>Ruschka Roland</v>
      </c>
      <c r="F92" s="216"/>
      <c r="G92" s="216"/>
      <c r="H92" s="233"/>
      <c r="I92" s="216"/>
      <c r="J92" s="216"/>
      <c r="K92" s="233"/>
      <c r="L92" s="216"/>
      <c r="M92" s="216"/>
      <c r="N92" s="233"/>
      <c r="O92" s="216"/>
      <c r="P92" s="216"/>
      <c r="Q92" s="233"/>
      <c r="R92" s="233"/>
      <c r="S92" s="233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</row>
    <row r="93" spans="1:32" s="224" customFormat="1" ht="18" customHeight="1" hidden="1">
      <c r="A93" s="251"/>
      <c r="B93" s="251">
        <v>84</v>
      </c>
      <c r="C93" s="233">
        <f t="shared" si="30"/>
      </c>
      <c r="D93" s="233">
        <f t="shared" si="31"/>
      </c>
      <c r="E93" s="233" t="str">
        <f t="shared" si="32"/>
        <v>Ruschka Uwe</v>
      </c>
      <c r="F93" s="216"/>
      <c r="G93" s="216"/>
      <c r="H93" s="233"/>
      <c r="I93" s="216"/>
      <c r="J93" s="216"/>
      <c r="K93" s="233"/>
      <c r="L93" s="216"/>
      <c r="M93" s="216"/>
      <c r="N93" s="233"/>
      <c r="O93" s="216"/>
      <c r="P93" s="216"/>
      <c r="Q93" s="233"/>
      <c r="R93" s="233"/>
      <c r="S93" s="233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</row>
    <row r="94" spans="1:32" s="224" customFormat="1" ht="18" customHeight="1" hidden="1">
      <c r="A94" s="251"/>
      <c r="B94" s="251">
        <v>85</v>
      </c>
      <c r="C94" s="233">
        <f t="shared" si="30"/>
      </c>
      <c r="D94" s="233">
        <f t="shared" si="31"/>
      </c>
      <c r="E94" s="233" t="str">
        <f t="shared" si="32"/>
        <v>Kühner Kuno</v>
      </c>
      <c r="F94" s="216"/>
      <c r="G94" s="216"/>
      <c r="H94" s="233"/>
      <c r="I94" s="216"/>
      <c r="J94" s="216"/>
      <c r="K94" s="233"/>
      <c r="L94" s="216"/>
      <c r="M94" s="216"/>
      <c r="N94" s="233"/>
      <c r="O94" s="216"/>
      <c r="P94" s="216"/>
      <c r="Q94" s="233"/>
      <c r="R94" s="233"/>
      <c r="S94" s="233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</row>
    <row r="95" spans="1:32" s="224" customFormat="1" ht="18" customHeight="1" hidden="1">
      <c r="A95" s="251"/>
      <c r="B95" s="251">
        <v>86</v>
      </c>
      <c r="C95" s="233">
        <f t="shared" si="30"/>
      </c>
      <c r="D95" s="233">
        <f t="shared" si="31"/>
      </c>
      <c r="E95" s="233" t="str">
        <f t="shared" si="32"/>
        <v>Gruber Andreas</v>
      </c>
      <c r="F95" s="216"/>
      <c r="G95" s="216"/>
      <c r="H95" s="233"/>
      <c r="I95" s="216"/>
      <c r="J95" s="216"/>
      <c r="K95" s="233"/>
      <c r="L95" s="216"/>
      <c r="M95" s="216"/>
      <c r="N95" s="233"/>
      <c r="O95" s="216"/>
      <c r="P95" s="216"/>
      <c r="Q95" s="233"/>
      <c r="R95" s="233"/>
      <c r="S95" s="233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</row>
    <row r="96" spans="1:32" s="224" customFormat="1" ht="18" customHeight="1" hidden="1">
      <c r="A96" s="251"/>
      <c r="B96" s="251">
        <v>87</v>
      </c>
      <c r="C96" s="233">
        <f t="shared" si="30"/>
      </c>
      <c r="D96" s="233">
        <f t="shared" si="31"/>
      </c>
      <c r="E96" s="233" t="str">
        <f t="shared" si="32"/>
        <v>Heinle Manfred</v>
      </c>
      <c r="F96" s="216"/>
      <c r="G96" s="216"/>
      <c r="H96" s="233"/>
      <c r="I96" s="216"/>
      <c r="J96" s="216"/>
      <c r="K96" s="233"/>
      <c r="L96" s="216"/>
      <c r="M96" s="216"/>
      <c r="N96" s="233"/>
      <c r="O96" s="216"/>
      <c r="P96" s="216"/>
      <c r="Q96" s="233"/>
      <c r="R96" s="233"/>
      <c r="S96" s="233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</row>
    <row r="97" spans="1:32" s="224" customFormat="1" ht="18" customHeight="1" hidden="1">
      <c r="A97" s="251"/>
      <c r="B97" s="251">
        <v>88</v>
      </c>
      <c r="C97" s="233">
        <f t="shared" si="30"/>
      </c>
      <c r="D97" s="233">
        <f t="shared" si="31"/>
      </c>
      <c r="E97" s="233" t="str">
        <f t="shared" si="32"/>
        <v>Schollenberger Herbert</v>
      </c>
      <c r="F97" s="216"/>
      <c r="G97" s="216"/>
      <c r="H97" s="233"/>
      <c r="I97" s="216"/>
      <c r="J97" s="216"/>
      <c r="K97" s="233"/>
      <c r="L97" s="216"/>
      <c r="M97" s="216"/>
      <c r="N97" s="233"/>
      <c r="O97" s="216"/>
      <c r="P97" s="216"/>
      <c r="Q97" s="233"/>
      <c r="R97" s="233"/>
      <c r="S97" s="233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</row>
    <row r="98" spans="1:32" s="224" customFormat="1" ht="18" customHeight="1" hidden="1">
      <c r="A98" s="251"/>
      <c r="B98" s="251">
        <v>89</v>
      </c>
      <c r="C98" s="233">
        <f t="shared" si="30"/>
      </c>
      <c r="D98" s="233">
        <f t="shared" si="31"/>
      </c>
      <c r="E98" s="233" t="str">
        <f t="shared" si="32"/>
        <v>Tremmel Armin</v>
      </c>
      <c r="F98" s="216"/>
      <c r="G98" s="216"/>
      <c r="H98" s="233"/>
      <c r="I98" s="216"/>
      <c r="J98" s="216"/>
      <c r="K98" s="233"/>
      <c r="L98" s="216"/>
      <c r="M98" s="216"/>
      <c r="N98" s="233"/>
      <c r="O98" s="216"/>
      <c r="P98" s="216"/>
      <c r="Q98" s="233"/>
      <c r="R98" s="233"/>
      <c r="S98" s="233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</row>
    <row r="99" spans="1:32" s="224" customFormat="1" ht="18" customHeight="1" hidden="1">
      <c r="A99" s="251"/>
      <c r="B99" s="251">
        <v>90</v>
      </c>
      <c r="C99" s="233">
        <f t="shared" si="30"/>
      </c>
      <c r="D99" s="233">
        <f t="shared" si="31"/>
      </c>
      <c r="E99" s="233" t="str">
        <f t="shared" si="32"/>
        <v>Spiegel Dirk</v>
      </c>
      <c r="F99" s="216"/>
      <c r="G99" s="216"/>
      <c r="H99" s="233"/>
      <c r="I99" s="216"/>
      <c r="J99" s="216"/>
      <c r="K99" s="233"/>
      <c r="L99" s="216"/>
      <c r="M99" s="216"/>
      <c r="N99" s="233"/>
      <c r="O99" s="216"/>
      <c r="P99" s="216"/>
      <c r="Q99" s="233"/>
      <c r="R99" s="233"/>
      <c r="S99" s="233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</row>
    <row r="100" spans="1:32" s="224" customFormat="1" ht="18" customHeight="1" hidden="1">
      <c r="A100" s="251"/>
      <c r="B100" s="251">
        <v>91</v>
      </c>
      <c r="C100" s="233">
        <f t="shared" si="30"/>
      </c>
      <c r="D100" s="233">
        <f t="shared" si="31"/>
      </c>
      <c r="E100" s="233" t="str">
        <f t="shared" si="32"/>
        <v> </v>
      </c>
      <c r="F100" s="216"/>
      <c r="G100" s="216"/>
      <c r="H100" s="233"/>
      <c r="I100" s="216"/>
      <c r="J100" s="216"/>
      <c r="K100" s="233"/>
      <c r="L100" s="216"/>
      <c r="M100" s="216"/>
      <c r="N100" s="233"/>
      <c r="O100" s="216"/>
      <c r="P100" s="216"/>
      <c r="Q100" s="233"/>
      <c r="R100" s="233"/>
      <c r="S100" s="233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</row>
    <row r="101" spans="1:32" s="224" customFormat="1" ht="18" customHeight="1" hidden="1">
      <c r="A101" s="251"/>
      <c r="B101" s="251">
        <v>92</v>
      </c>
      <c r="C101" s="233">
        <f t="shared" si="30"/>
        <v>0</v>
      </c>
      <c r="D101" s="233">
        <f t="shared" si="31"/>
        <v>0</v>
      </c>
      <c r="E101" s="233" t="str">
        <f t="shared" si="32"/>
        <v>Kühner Kuno</v>
      </c>
      <c r="F101" s="216"/>
      <c r="G101" s="216"/>
      <c r="H101" s="233"/>
      <c r="I101" s="216"/>
      <c r="J101" s="216"/>
      <c r="K101" s="233"/>
      <c r="L101" s="216"/>
      <c r="M101" s="216"/>
      <c r="N101" s="233"/>
      <c r="O101" s="216"/>
      <c r="P101" s="216"/>
      <c r="Q101" s="233"/>
      <c r="R101" s="233"/>
      <c r="S101" s="233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</row>
    <row r="102" spans="1:32" s="224" customFormat="1" ht="18" customHeight="1" hidden="1">
      <c r="A102" s="251"/>
      <c r="B102" s="251">
        <v>93</v>
      </c>
      <c r="C102" s="233">
        <f t="shared" si="30"/>
        <v>0</v>
      </c>
      <c r="D102" s="233">
        <f t="shared" si="31"/>
        <v>0</v>
      </c>
      <c r="E102" s="233">
        <f t="shared" si="32"/>
      </c>
      <c r="F102" s="216"/>
      <c r="G102" s="216"/>
      <c r="H102" s="233"/>
      <c r="I102" s="216"/>
      <c r="J102" s="216"/>
      <c r="K102" s="233"/>
      <c r="L102" s="216"/>
      <c r="M102" s="216"/>
      <c r="N102" s="233"/>
      <c r="O102" s="216"/>
      <c r="P102" s="216"/>
      <c r="Q102" s="233"/>
      <c r="R102" s="233"/>
      <c r="S102" s="233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</row>
    <row r="103" spans="1:32" s="224" customFormat="1" ht="18" customHeight="1" hidden="1">
      <c r="A103" s="251"/>
      <c r="B103" s="251"/>
      <c r="C103" s="233"/>
      <c r="D103" s="233"/>
      <c r="E103" s="233"/>
      <c r="F103" s="216"/>
      <c r="G103" s="216"/>
      <c r="H103" s="233"/>
      <c r="I103" s="216"/>
      <c r="J103" s="216"/>
      <c r="K103" s="233"/>
      <c r="L103" s="216"/>
      <c r="M103" s="216"/>
      <c r="N103" s="233"/>
      <c r="O103" s="216"/>
      <c r="P103" s="216"/>
      <c r="Q103" s="233"/>
      <c r="R103" s="233"/>
      <c r="S103" s="233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</row>
    <row r="104" spans="1:32" s="224" customFormat="1" ht="18" customHeight="1" hidden="1">
      <c r="A104" s="251"/>
      <c r="B104" s="251">
        <v>94</v>
      </c>
      <c r="C104" s="233">
        <f>I147</f>
      </c>
      <c r="D104" s="233">
        <f>J147</f>
      </c>
      <c r="E104" s="233" t="str">
        <f>K147</f>
        <v>Cymera, Detlef</v>
      </c>
      <c r="F104" s="216"/>
      <c r="G104" s="216"/>
      <c r="H104" s="233"/>
      <c r="I104" s="216"/>
      <c r="J104" s="216"/>
      <c r="K104" s="233"/>
      <c r="L104" s="216"/>
      <c r="M104" s="216"/>
      <c r="N104" s="233"/>
      <c r="O104" s="216"/>
      <c r="P104" s="216"/>
      <c r="Q104" s="233"/>
      <c r="R104" s="233"/>
      <c r="S104" s="233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</row>
    <row r="105" spans="1:32" s="224" customFormat="1" ht="18" customHeight="1" hidden="1">
      <c r="A105" s="251"/>
      <c r="B105" s="251">
        <v>95</v>
      </c>
      <c r="C105" s="233">
        <f aca="true" t="shared" si="33" ref="C105:C115">I148</f>
        <v>11</v>
      </c>
      <c r="D105" s="233">
        <f aca="true" t="shared" si="34" ref="D105:D115">J148</f>
      </c>
      <c r="E105" s="233" t="str">
        <f aca="true" t="shared" si="35" ref="E105:E115">K148</f>
        <v>Schmidt, Frank</v>
      </c>
      <c r="F105" s="216"/>
      <c r="G105" s="216"/>
      <c r="H105" s="233"/>
      <c r="I105" s="216"/>
      <c r="J105" s="216"/>
      <c r="K105" s="233"/>
      <c r="L105" s="216"/>
      <c r="M105" s="216"/>
      <c r="N105" s="233"/>
      <c r="O105" s="216"/>
      <c r="P105" s="216"/>
      <c r="Q105" s="233"/>
      <c r="R105" s="233"/>
      <c r="S105" s="233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</row>
    <row r="106" spans="1:32" s="224" customFormat="1" ht="18" customHeight="1" hidden="1">
      <c r="A106" s="251"/>
      <c r="B106" s="251">
        <v>96</v>
      </c>
      <c r="C106" s="233">
        <f t="shared" si="33"/>
        <v>7</v>
      </c>
      <c r="D106" s="233">
        <f t="shared" si="34"/>
      </c>
      <c r="E106" s="233" t="str">
        <f t="shared" si="35"/>
        <v>Euler, Thomas</v>
      </c>
      <c r="F106" s="216"/>
      <c r="G106" s="216"/>
      <c r="H106" s="233"/>
      <c r="I106" s="216"/>
      <c r="J106" s="216"/>
      <c r="K106" s="233"/>
      <c r="L106" s="216"/>
      <c r="M106" s="216"/>
      <c r="N106" s="233"/>
      <c r="O106" s="216"/>
      <c r="P106" s="216"/>
      <c r="Q106" s="233"/>
      <c r="R106" s="233"/>
      <c r="S106" s="233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</row>
    <row r="107" spans="1:32" s="224" customFormat="1" ht="18" customHeight="1" hidden="1">
      <c r="A107" s="251"/>
      <c r="B107" s="251">
        <v>97</v>
      </c>
      <c r="C107" s="233">
        <f t="shared" si="33"/>
      </c>
      <c r="D107" s="233">
        <f t="shared" si="34"/>
      </c>
      <c r="E107" s="233" t="str">
        <f t="shared" si="35"/>
        <v>Cymera, Rainer</v>
      </c>
      <c r="F107" s="216"/>
      <c r="G107" s="216"/>
      <c r="H107" s="233"/>
      <c r="I107" s="216"/>
      <c r="J107" s="216"/>
      <c r="K107" s="233"/>
      <c r="L107" s="216"/>
      <c r="M107" s="216"/>
      <c r="N107" s="233"/>
      <c r="O107" s="216"/>
      <c r="P107" s="216"/>
      <c r="Q107" s="233"/>
      <c r="R107" s="233"/>
      <c r="S107" s="233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</row>
    <row r="108" spans="1:32" s="224" customFormat="1" ht="18" customHeight="1" hidden="1">
      <c r="A108" s="251"/>
      <c r="B108" s="251">
        <v>98</v>
      </c>
      <c r="C108" s="233">
        <f t="shared" si="33"/>
        <v>6</v>
      </c>
      <c r="D108" s="233">
        <f t="shared" si="34"/>
      </c>
      <c r="E108" s="233" t="str">
        <f t="shared" si="35"/>
        <v>Pelz, Martin</v>
      </c>
      <c r="F108" s="216"/>
      <c r="G108" s="216"/>
      <c r="H108" s="233"/>
      <c r="I108" s="216"/>
      <c r="J108" s="216"/>
      <c r="K108" s="233"/>
      <c r="L108" s="216"/>
      <c r="M108" s="216"/>
      <c r="N108" s="233"/>
      <c r="O108" s="216"/>
      <c r="P108" s="216"/>
      <c r="Q108" s="233"/>
      <c r="R108" s="233"/>
      <c r="S108" s="233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</row>
    <row r="109" spans="1:32" s="224" customFormat="1" ht="18" customHeight="1" hidden="1">
      <c r="A109" s="251"/>
      <c r="B109" s="251">
        <v>99</v>
      </c>
      <c r="C109" s="233">
        <f t="shared" si="33"/>
        <v>10</v>
      </c>
      <c r="D109" s="233" t="str">
        <f t="shared" si="34"/>
        <v>X</v>
      </c>
      <c r="E109" s="233" t="str">
        <f t="shared" si="35"/>
        <v>Mehle, Udo</v>
      </c>
      <c r="F109" s="216"/>
      <c r="G109" s="216"/>
      <c r="H109" s="233"/>
      <c r="I109" s="216"/>
      <c r="J109" s="216"/>
      <c r="K109" s="233"/>
      <c r="L109" s="216"/>
      <c r="M109" s="216"/>
      <c r="N109" s="233"/>
      <c r="O109" s="216"/>
      <c r="P109" s="216"/>
      <c r="Q109" s="233"/>
      <c r="R109" s="233"/>
      <c r="S109" s="233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</row>
    <row r="110" spans="1:32" s="224" customFormat="1" ht="18" customHeight="1" hidden="1">
      <c r="A110" s="251"/>
      <c r="B110" s="251">
        <v>100</v>
      </c>
      <c r="C110" s="233">
        <f t="shared" si="33"/>
        <v>15</v>
      </c>
      <c r="D110" s="233">
        <f t="shared" si="34"/>
      </c>
      <c r="E110" s="233" t="str">
        <f t="shared" si="35"/>
        <v>Meller, Thomas</v>
      </c>
      <c r="F110" s="216"/>
      <c r="G110" s="216"/>
      <c r="H110" s="233"/>
      <c r="I110" s="216"/>
      <c r="J110" s="216"/>
      <c r="K110" s="233"/>
      <c r="L110" s="216"/>
      <c r="M110" s="216"/>
      <c r="N110" s="233"/>
      <c r="O110" s="216"/>
      <c r="P110" s="216"/>
      <c r="Q110" s="233"/>
      <c r="R110" s="233"/>
      <c r="S110" s="233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</row>
    <row r="111" spans="1:32" s="224" customFormat="1" ht="18" customHeight="1" hidden="1">
      <c r="A111" s="251"/>
      <c r="B111" s="251">
        <v>101</v>
      </c>
      <c r="C111" s="233">
        <f t="shared" si="33"/>
        <v>19</v>
      </c>
      <c r="D111" s="233">
        <f t="shared" si="34"/>
      </c>
      <c r="E111" s="233" t="str">
        <f t="shared" si="35"/>
        <v>Theurig, Marcus</v>
      </c>
      <c r="F111" s="216"/>
      <c r="G111" s="216"/>
      <c r="H111" s="233"/>
      <c r="I111" s="216"/>
      <c r="J111" s="216"/>
      <c r="K111" s="233"/>
      <c r="L111" s="216"/>
      <c r="M111" s="216"/>
      <c r="N111" s="233"/>
      <c r="O111" s="216"/>
      <c r="P111" s="216"/>
      <c r="Q111" s="233"/>
      <c r="R111" s="233"/>
      <c r="S111" s="233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</row>
    <row r="112" spans="1:32" s="224" customFormat="1" ht="18" customHeight="1" hidden="1">
      <c r="A112" s="251"/>
      <c r="B112" s="251">
        <v>102</v>
      </c>
      <c r="C112" s="233">
        <f t="shared" si="33"/>
      </c>
      <c r="D112" s="233">
        <f t="shared" si="34"/>
      </c>
      <c r="E112" s="233" t="str">
        <f t="shared" si="35"/>
        <v>von Laufenberg, Frank</v>
      </c>
      <c r="F112" s="216"/>
      <c r="G112" s="216"/>
      <c r="H112" s="233"/>
      <c r="I112" s="216"/>
      <c r="J112" s="216"/>
      <c r="K112" s="233"/>
      <c r="L112" s="216"/>
      <c r="M112" s="216"/>
      <c r="N112" s="233"/>
      <c r="O112" s="216"/>
      <c r="P112" s="216"/>
      <c r="Q112" s="233"/>
      <c r="R112" s="233"/>
      <c r="S112" s="233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</row>
    <row r="113" spans="1:32" s="224" customFormat="1" ht="18" customHeight="1" hidden="1">
      <c r="A113" s="251"/>
      <c r="B113" s="251">
        <v>103</v>
      </c>
      <c r="C113" s="233">
        <f t="shared" si="33"/>
      </c>
      <c r="D113" s="233">
        <f t="shared" si="34"/>
      </c>
      <c r="E113" s="233">
        <f t="shared" si="35"/>
      </c>
      <c r="F113" s="216"/>
      <c r="G113" s="216"/>
      <c r="H113" s="233"/>
      <c r="I113" s="216"/>
      <c r="J113" s="216"/>
      <c r="K113" s="233"/>
      <c r="L113" s="216"/>
      <c r="M113" s="216"/>
      <c r="N113" s="233"/>
      <c r="O113" s="216"/>
      <c r="P113" s="216"/>
      <c r="Q113" s="233"/>
      <c r="R113" s="233"/>
      <c r="S113" s="233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</row>
    <row r="114" spans="1:32" s="224" customFormat="1" ht="18" customHeight="1" hidden="1">
      <c r="A114" s="251"/>
      <c r="B114" s="251">
        <v>104</v>
      </c>
      <c r="C114" s="233">
        <f t="shared" si="33"/>
        <v>0</v>
      </c>
      <c r="D114" s="233">
        <f t="shared" si="34"/>
        <v>0</v>
      </c>
      <c r="E114" s="233">
        <f t="shared" si="35"/>
      </c>
      <c r="F114" s="216"/>
      <c r="G114" s="216"/>
      <c r="H114" s="233"/>
      <c r="I114" s="216"/>
      <c r="J114" s="216"/>
      <c r="K114" s="233"/>
      <c r="L114" s="216"/>
      <c r="M114" s="216"/>
      <c r="N114" s="233"/>
      <c r="O114" s="216"/>
      <c r="P114" s="216"/>
      <c r="Q114" s="233"/>
      <c r="R114" s="233"/>
      <c r="S114" s="233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</row>
    <row r="115" spans="1:32" s="224" customFormat="1" ht="18" customHeight="1" hidden="1">
      <c r="A115" s="251"/>
      <c r="B115" s="251">
        <v>105</v>
      </c>
      <c r="C115" s="233">
        <f t="shared" si="33"/>
        <v>0</v>
      </c>
      <c r="D115" s="233">
        <f t="shared" si="34"/>
        <v>0</v>
      </c>
      <c r="E115" s="233">
        <f t="shared" si="35"/>
      </c>
      <c r="F115" s="216"/>
      <c r="G115" s="216"/>
      <c r="H115" s="233"/>
      <c r="I115" s="216"/>
      <c r="J115" s="216"/>
      <c r="K115" s="233"/>
      <c r="L115" s="216"/>
      <c r="M115" s="216"/>
      <c r="N115" s="233"/>
      <c r="O115" s="216"/>
      <c r="P115" s="216"/>
      <c r="Q115" s="233"/>
      <c r="R115" s="233"/>
      <c r="S115" s="233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</row>
    <row r="116" spans="1:32" s="224" customFormat="1" ht="18" customHeight="1" hidden="1">
      <c r="A116" s="251"/>
      <c r="B116" s="251"/>
      <c r="C116" s="233"/>
      <c r="D116" s="233"/>
      <c r="E116" s="233"/>
      <c r="F116" s="216"/>
      <c r="G116" s="216"/>
      <c r="H116" s="233"/>
      <c r="I116" s="216"/>
      <c r="J116" s="216"/>
      <c r="K116" s="233"/>
      <c r="L116" s="216"/>
      <c r="M116" s="216"/>
      <c r="N116" s="233"/>
      <c r="O116" s="216"/>
      <c r="P116" s="216"/>
      <c r="Q116" s="233"/>
      <c r="R116" s="233"/>
      <c r="S116" s="233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</row>
    <row r="117" spans="1:32" s="224" customFormat="1" ht="18" customHeight="1" hidden="1">
      <c r="A117" s="251"/>
      <c r="B117" s="251">
        <v>106</v>
      </c>
      <c r="C117" s="233">
        <f>L147</f>
        <v>1</v>
      </c>
      <c r="D117" s="233" t="str">
        <f>M147</f>
        <v>X</v>
      </c>
      <c r="E117" s="233" t="str">
        <f>N147</f>
        <v>Junginger, Hanspeter</v>
      </c>
      <c r="F117" s="216"/>
      <c r="G117" s="216"/>
      <c r="H117" s="233"/>
      <c r="I117" s="216"/>
      <c r="J117" s="216"/>
      <c r="K117" s="233"/>
      <c r="L117" s="216"/>
      <c r="M117" s="216"/>
      <c r="N117" s="233"/>
      <c r="O117" s="216"/>
      <c r="P117" s="216"/>
      <c r="Q117" s="233"/>
      <c r="R117" s="233"/>
      <c r="S117" s="233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</row>
    <row r="118" spans="1:32" s="224" customFormat="1" ht="18" customHeight="1" hidden="1">
      <c r="A118" s="251"/>
      <c r="B118" s="251">
        <v>107</v>
      </c>
      <c r="C118" s="233">
        <f aca="true" t="shared" si="36" ref="C118:C128">L148</f>
        <v>2</v>
      </c>
      <c r="D118" s="233">
        <f aca="true" t="shared" si="37" ref="D118:D128">M148</f>
      </c>
      <c r="E118" s="233" t="str">
        <f aca="true" t="shared" si="38" ref="E118:E128">N148</f>
        <v>Welz, Michael</v>
      </c>
      <c r="F118" s="216"/>
      <c r="G118" s="216"/>
      <c r="H118" s="233"/>
      <c r="I118" s="216"/>
      <c r="J118" s="216"/>
      <c r="K118" s="233"/>
      <c r="L118" s="216"/>
      <c r="M118" s="216"/>
      <c r="N118" s="233"/>
      <c r="O118" s="216"/>
      <c r="P118" s="216"/>
      <c r="Q118" s="233"/>
      <c r="R118" s="233"/>
      <c r="S118" s="233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</row>
    <row r="119" spans="1:32" s="224" customFormat="1" ht="18" customHeight="1" hidden="1">
      <c r="A119" s="251"/>
      <c r="B119" s="251">
        <v>108</v>
      </c>
      <c r="C119" s="233">
        <f t="shared" si="36"/>
        <v>3</v>
      </c>
      <c r="D119" s="233">
        <f t="shared" si="37"/>
      </c>
      <c r="E119" s="233" t="str">
        <f t="shared" si="38"/>
        <v>Fuchs, Martin</v>
      </c>
      <c r="F119" s="216"/>
      <c r="G119" s="216"/>
      <c r="H119" s="233"/>
      <c r="I119" s="216"/>
      <c r="J119" s="216"/>
      <c r="K119" s="233"/>
      <c r="L119" s="216"/>
      <c r="M119" s="216"/>
      <c r="N119" s="233"/>
      <c r="O119" s="216"/>
      <c r="P119" s="216"/>
      <c r="Q119" s="233"/>
      <c r="R119" s="233"/>
      <c r="S119" s="233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</row>
    <row r="120" spans="1:32" s="224" customFormat="1" ht="18" customHeight="1" hidden="1">
      <c r="A120" s="251"/>
      <c r="B120" s="251">
        <v>109</v>
      </c>
      <c r="C120" s="233">
        <f t="shared" si="36"/>
        <v>4</v>
      </c>
      <c r="D120" s="233">
        <f t="shared" si="37"/>
      </c>
      <c r="E120" s="233" t="str">
        <f t="shared" si="38"/>
        <v>Feigl, Hans-Peter</v>
      </c>
      <c r="F120" s="216"/>
      <c r="G120" s="216"/>
      <c r="H120" s="233"/>
      <c r="I120" s="216"/>
      <c r="J120" s="216"/>
      <c r="K120" s="233"/>
      <c r="L120" s="216"/>
      <c r="M120" s="216"/>
      <c r="N120" s="233"/>
      <c r="O120" s="216"/>
      <c r="P120" s="216"/>
      <c r="Q120" s="233"/>
      <c r="R120" s="233"/>
      <c r="S120" s="233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</row>
    <row r="121" spans="1:32" s="224" customFormat="1" ht="18" customHeight="1" hidden="1">
      <c r="A121" s="251"/>
      <c r="B121" s="251">
        <v>110</v>
      </c>
      <c r="C121" s="233">
        <f t="shared" si="36"/>
        <v>5</v>
      </c>
      <c r="D121" s="233">
        <f t="shared" si="37"/>
      </c>
      <c r="E121" s="233" t="str">
        <f t="shared" si="38"/>
        <v>Ulmer, Joachim</v>
      </c>
      <c r="F121" s="216"/>
      <c r="G121" s="216"/>
      <c r="H121" s="233"/>
      <c r="I121" s="216"/>
      <c r="J121" s="216"/>
      <c r="K121" s="233"/>
      <c r="L121" s="216"/>
      <c r="M121" s="216"/>
      <c r="N121" s="233"/>
      <c r="O121" s="216"/>
      <c r="P121" s="216"/>
      <c r="Q121" s="233"/>
      <c r="R121" s="233"/>
      <c r="S121" s="233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</row>
    <row r="122" spans="1:32" s="224" customFormat="1" ht="18" customHeight="1" hidden="1">
      <c r="A122" s="251"/>
      <c r="B122" s="251">
        <v>111</v>
      </c>
      <c r="C122" s="233">
        <f t="shared" si="36"/>
        <v>6</v>
      </c>
      <c r="D122" s="233">
        <f t="shared" si="37"/>
      </c>
      <c r="E122" s="233" t="str">
        <f t="shared" si="38"/>
        <v>Kopplin, Klaus</v>
      </c>
      <c r="F122" s="216"/>
      <c r="G122" s="216"/>
      <c r="H122" s="233"/>
      <c r="I122" s="216"/>
      <c r="J122" s="216"/>
      <c r="K122" s="233"/>
      <c r="L122" s="216"/>
      <c r="M122" s="216"/>
      <c r="N122" s="233"/>
      <c r="O122" s="216"/>
      <c r="P122" s="216"/>
      <c r="Q122" s="233"/>
      <c r="R122" s="233"/>
      <c r="S122" s="233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</row>
    <row r="123" spans="1:32" s="224" customFormat="1" ht="18" customHeight="1" hidden="1">
      <c r="A123" s="251"/>
      <c r="B123" s="251">
        <v>112</v>
      </c>
      <c r="C123" s="233">
        <f t="shared" si="36"/>
        <v>7</v>
      </c>
      <c r="D123" s="233">
        <f t="shared" si="37"/>
      </c>
      <c r="E123" s="233" t="str">
        <f t="shared" si="38"/>
        <v>Bürkle, Stefan</v>
      </c>
      <c r="F123" s="216"/>
      <c r="G123" s="216"/>
      <c r="H123" s="233"/>
      <c r="I123" s="216"/>
      <c r="J123" s="216"/>
      <c r="K123" s="233"/>
      <c r="L123" s="216"/>
      <c r="M123" s="216"/>
      <c r="N123" s="233"/>
      <c r="O123" s="216"/>
      <c r="P123" s="216"/>
      <c r="Q123" s="233"/>
      <c r="R123" s="233"/>
      <c r="S123" s="233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</row>
    <row r="124" spans="1:32" s="224" customFormat="1" ht="18" customHeight="1" hidden="1">
      <c r="A124" s="251"/>
      <c r="B124" s="251">
        <v>113</v>
      </c>
      <c r="C124" s="233">
        <f t="shared" si="36"/>
        <v>8</v>
      </c>
      <c r="D124" s="233">
        <f t="shared" si="37"/>
      </c>
      <c r="E124" s="233" t="str">
        <f t="shared" si="38"/>
        <v>Göck, Sepp-Dieter</v>
      </c>
      <c r="F124" s="216"/>
      <c r="G124" s="216"/>
      <c r="H124" s="233"/>
      <c r="I124" s="216"/>
      <c r="J124" s="216"/>
      <c r="K124" s="233"/>
      <c r="L124" s="216"/>
      <c r="M124" s="216"/>
      <c r="N124" s="233"/>
      <c r="O124" s="216"/>
      <c r="P124" s="216"/>
      <c r="Q124" s="233"/>
      <c r="R124" s="233"/>
      <c r="S124" s="233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</row>
    <row r="125" spans="1:32" s="224" customFormat="1" ht="18" customHeight="1" hidden="1">
      <c r="A125" s="251"/>
      <c r="B125" s="251">
        <v>114</v>
      </c>
      <c r="C125" s="233">
        <f t="shared" si="36"/>
      </c>
      <c r="D125" s="233">
        <f t="shared" si="37"/>
      </c>
      <c r="E125" s="233">
        <f t="shared" si="38"/>
      </c>
      <c r="F125" s="216"/>
      <c r="G125" s="216"/>
      <c r="H125" s="233"/>
      <c r="I125" s="216"/>
      <c r="J125" s="216"/>
      <c r="K125" s="233"/>
      <c r="L125" s="216"/>
      <c r="M125" s="216"/>
      <c r="N125" s="233"/>
      <c r="O125" s="216"/>
      <c r="P125" s="216"/>
      <c r="Q125" s="233"/>
      <c r="R125" s="233"/>
      <c r="S125" s="233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</row>
    <row r="126" spans="1:32" s="224" customFormat="1" ht="18" customHeight="1" hidden="1">
      <c r="A126" s="251"/>
      <c r="B126" s="251">
        <v>115</v>
      </c>
      <c r="C126" s="233">
        <f t="shared" si="36"/>
      </c>
      <c r="D126" s="233">
        <f t="shared" si="37"/>
      </c>
      <c r="E126" s="233">
        <f t="shared" si="38"/>
      </c>
      <c r="F126" s="216"/>
      <c r="G126" s="216"/>
      <c r="H126" s="233"/>
      <c r="I126" s="216"/>
      <c r="J126" s="216"/>
      <c r="K126" s="233"/>
      <c r="L126" s="216"/>
      <c r="M126" s="216"/>
      <c r="N126" s="233"/>
      <c r="O126" s="216"/>
      <c r="P126" s="216"/>
      <c r="Q126" s="233"/>
      <c r="R126" s="233"/>
      <c r="S126" s="233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</row>
    <row r="127" spans="1:32" s="224" customFormat="1" ht="18" customHeight="1" hidden="1">
      <c r="A127" s="251"/>
      <c r="B127" s="251">
        <v>116</v>
      </c>
      <c r="C127" s="233">
        <f t="shared" si="36"/>
        <v>0</v>
      </c>
      <c r="D127" s="233">
        <f t="shared" si="37"/>
        <v>0</v>
      </c>
      <c r="E127" s="233">
        <f t="shared" si="38"/>
      </c>
      <c r="F127" s="216"/>
      <c r="G127" s="216"/>
      <c r="H127" s="233"/>
      <c r="I127" s="216"/>
      <c r="J127" s="216"/>
      <c r="K127" s="233"/>
      <c r="L127" s="216"/>
      <c r="M127" s="216"/>
      <c r="N127" s="233"/>
      <c r="O127" s="216"/>
      <c r="P127" s="216"/>
      <c r="Q127" s="233"/>
      <c r="R127" s="233"/>
      <c r="S127" s="233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</row>
    <row r="128" spans="1:32" s="224" customFormat="1" ht="18" customHeight="1" hidden="1">
      <c r="A128" s="251"/>
      <c r="B128" s="251">
        <v>117</v>
      </c>
      <c r="C128" s="233">
        <f t="shared" si="36"/>
        <v>0</v>
      </c>
      <c r="D128" s="233">
        <f t="shared" si="37"/>
        <v>0</v>
      </c>
      <c r="E128" s="233">
        <f t="shared" si="38"/>
      </c>
      <c r="F128" s="216"/>
      <c r="G128" s="216"/>
      <c r="H128" s="233"/>
      <c r="I128" s="216"/>
      <c r="J128" s="216"/>
      <c r="K128" s="233"/>
      <c r="L128" s="216"/>
      <c r="M128" s="216"/>
      <c r="N128" s="233"/>
      <c r="O128" s="216"/>
      <c r="P128" s="216"/>
      <c r="Q128" s="233"/>
      <c r="R128" s="233"/>
      <c r="S128" s="233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</row>
    <row r="129" spans="1:32" s="224" customFormat="1" ht="18" customHeight="1" hidden="1">
      <c r="A129" s="251"/>
      <c r="B129" s="251"/>
      <c r="C129" s="233"/>
      <c r="D129" s="233"/>
      <c r="E129" s="233"/>
      <c r="F129" s="216"/>
      <c r="G129" s="216"/>
      <c r="H129" s="233"/>
      <c r="I129" s="216"/>
      <c r="J129" s="216"/>
      <c r="K129" s="233"/>
      <c r="L129" s="216"/>
      <c r="M129" s="216"/>
      <c r="N129" s="233"/>
      <c r="O129" s="216"/>
      <c r="P129" s="216"/>
      <c r="Q129" s="233"/>
      <c r="R129" s="233"/>
      <c r="S129" s="233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</row>
    <row r="130" spans="1:32" s="224" customFormat="1" ht="18" customHeight="1" hidden="1">
      <c r="A130" s="251"/>
      <c r="B130" s="251">
        <v>118</v>
      </c>
      <c r="C130" s="233">
        <f>O147</f>
      </c>
      <c r="D130" s="233" t="str">
        <f>P147</f>
        <v>X</v>
      </c>
      <c r="E130" s="233" t="str">
        <f>Q147</f>
        <v>Großer Andre´</v>
      </c>
      <c r="F130" s="216"/>
      <c r="G130" s="216"/>
      <c r="H130" s="233"/>
      <c r="I130" s="216"/>
      <c r="J130" s="216"/>
      <c r="K130" s="233"/>
      <c r="L130" s="216"/>
      <c r="M130" s="216"/>
      <c r="N130" s="233"/>
      <c r="O130" s="216"/>
      <c r="P130" s="216"/>
      <c r="Q130" s="233"/>
      <c r="R130" s="233"/>
      <c r="S130" s="233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</row>
    <row r="131" spans="1:32" s="224" customFormat="1" ht="18" customHeight="1" hidden="1">
      <c r="A131" s="251"/>
      <c r="B131" s="251">
        <v>119</v>
      </c>
      <c r="C131" s="233">
        <f aca="true" t="shared" si="39" ref="C131:C141">O148</f>
      </c>
      <c r="D131" s="233">
        <f aca="true" t="shared" si="40" ref="D131:D141">P148</f>
      </c>
      <c r="E131" s="233" t="str">
        <f aca="true" t="shared" si="41" ref="E131:E141">Q148</f>
        <v>Marsch Thomas</v>
      </c>
      <c r="F131" s="216"/>
      <c r="G131" s="216"/>
      <c r="H131" s="233"/>
      <c r="I131" s="216"/>
      <c r="J131" s="216"/>
      <c r="K131" s="233"/>
      <c r="L131" s="216"/>
      <c r="M131" s="216"/>
      <c r="N131" s="233"/>
      <c r="O131" s="216"/>
      <c r="P131" s="216"/>
      <c r="Q131" s="233"/>
      <c r="R131" s="233"/>
      <c r="S131" s="233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</row>
    <row r="132" spans="1:32" s="224" customFormat="1" ht="18" customHeight="1" hidden="1">
      <c r="A132" s="251"/>
      <c r="B132" s="251">
        <v>120</v>
      </c>
      <c r="C132" s="233">
        <f t="shared" si="39"/>
      </c>
      <c r="D132" s="233">
        <f t="shared" si="40"/>
      </c>
      <c r="E132" s="233" t="str">
        <f t="shared" si="41"/>
        <v>Kammer Dietmar</v>
      </c>
      <c r="F132" s="216"/>
      <c r="G132" s="216"/>
      <c r="H132" s="233"/>
      <c r="I132" s="216"/>
      <c r="J132" s="216"/>
      <c r="K132" s="233"/>
      <c r="L132" s="216"/>
      <c r="M132" s="216"/>
      <c r="N132" s="233"/>
      <c r="O132" s="216"/>
      <c r="P132" s="216"/>
      <c r="Q132" s="233"/>
      <c r="R132" s="233"/>
      <c r="S132" s="233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</row>
    <row r="133" spans="1:32" s="224" customFormat="1" ht="18" customHeight="1" hidden="1">
      <c r="A133" s="251"/>
      <c r="B133" s="251">
        <v>121</v>
      </c>
      <c r="C133" s="233">
        <f t="shared" si="39"/>
      </c>
      <c r="D133" s="233">
        <f t="shared" si="40"/>
      </c>
      <c r="E133" s="233" t="str">
        <f t="shared" si="41"/>
        <v>Büchholz Norbert</v>
      </c>
      <c r="F133" s="216"/>
      <c r="G133" s="216"/>
      <c r="H133" s="233"/>
      <c r="I133" s="216"/>
      <c r="J133" s="216"/>
      <c r="K133" s="233"/>
      <c r="L133" s="216"/>
      <c r="M133" s="216"/>
      <c r="N133" s="233"/>
      <c r="O133" s="216"/>
      <c r="P133" s="216"/>
      <c r="Q133" s="233"/>
      <c r="R133" s="233"/>
      <c r="S133" s="233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</row>
    <row r="134" spans="1:32" s="224" customFormat="1" ht="18" customHeight="1" hidden="1">
      <c r="A134" s="251"/>
      <c r="B134" s="251">
        <v>122</v>
      </c>
      <c r="C134" s="233">
        <f t="shared" si="39"/>
      </c>
      <c r="D134" s="233">
        <f t="shared" si="40"/>
      </c>
      <c r="E134" s="233" t="str">
        <f t="shared" si="41"/>
        <v>Frenzel, Heiko</v>
      </c>
      <c r="F134" s="216"/>
      <c r="G134" s="216"/>
      <c r="H134" s="233"/>
      <c r="I134" s="216"/>
      <c r="J134" s="216"/>
      <c r="K134" s="233"/>
      <c r="L134" s="216"/>
      <c r="M134" s="216"/>
      <c r="N134" s="233"/>
      <c r="O134" s="216"/>
      <c r="P134" s="216"/>
      <c r="Q134" s="233"/>
      <c r="R134" s="233"/>
      <c r="S134" s="233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</row>
    <row r="135" spans="1:16" s="224" customFormat="1" ht="18" customHeight="1" hidden="1">
      <c r="A135" s="252"/>
      <c r="B135" s="251">
        <v>123</v>
      </c>
      <c r="C135" s="233">
        <f t="shared" si="39"/>
      </c>
      <c r="D135" s="233">
        <f t="shared" si="40"/>
      </c>
      <c r="E135" s="233" t="str">
        <f t="shared" si="41"/>
        <v>Hrudzik, Ralf</v>
      </c>
      <c r="F135" s="216"/>
      <c r="G135" s="216"/>
      <c r="H135" s="253"/>
      <c r="I135" s="254"/>
      <c r="J135" s="254"/>
      <c r="K135" s="253"/>
      <c r="L135" s="254"/>
      <c r="M135" s="254"/>
      <c r="O135" s="225"/>
      <c r="P135" s="225"/>
    </row>
    <row r="136" spans="1:16" s="224" customFormat="1" ht="18" customHeight="1" hidden="1">
      <c r="A136" s="252"/>
      <c r="B136" s="251">
        <v>124</v>
      </c>
      <c r="C136" s="233">
        <f t="shared" si="39"/>
      </c>
      <c r="D136" s="233">
        <f t="shared" si="40"/>
      </c>
      <c r="E136" s="233" t="str">
        <f t="shared" si="41"/>
        <v>Marsch, Andre´</v>
      </c>
      <c r="F136" s="216"/>
      <c r="G136" s="216"/>
      <c r="H136" s="253"/>
      <c r="I136" s="254"/>
      <c r="J136" s="254"/>
      <c r="K136" s="253"/>
      <c r="L136" s="254"/>
      <c r="M136" s="254"/>
      <c r="O136" s="225"/>
      <c r="P136" s="225"/>
    </row>
    <row r="137" spans="1:16" s="224" customFormat="1" ht="18" customHeight="1" hidden="1">
      <c r="A137" s="252"/>
      <c r="B137" s="251">
        <v>125</v>
      </c>
      <c r="C137" s="233">
        <f t="shared" si="39"/>
      </c>
      <c r="D137" s="233">
        <f t="shared" si="40"/>
      </c>
      <c r="E137" s="233" t="str">
        <f t="shared" si="41"/>
        <v>Köhn, Hartmut</v>
      </c>
      <c r="F137" s="216"/>
      <c r="G137" s="216"/>
      <c r="H137" s="253"/>
      <c r="I137" s="254"/>
      <c r="J137" s="254"/>
      <c r="K137" s="253"/>
      <c r="L137" s="254"/>
      <c r="M137" s="254"/>
      <c r="O137" s="225"/>
      <c r="P137" s="225"/>
    </row>
    <row r="138" spans="1:16" s="224" customFormat="1" ht="18" customHeight="1" hidden="1">
      <c r="A138" s="252"/>
      <c r="B138" s="251">
        <v>126</v>
      </c>
      <c r="C138" s="233">
        <f t="shared" si="39"/>
      </c>
      <c r="D138" s="233">
        <f t="shared" si="40"/>
      </c>
      <c r="E138" s="233" t="str">
        <f t="shared" si="41"/>
        <v>Schneider, Frank</v>
      </c>
      <c r="F138" s="216"/>
      <c r="G138" s="216"/>
      <c r="H138" s="253"/>
      <c r="I138" s="254"/>
      <c r="J138" s="254"/>
      <c r="K138" s="253"/>
      <c r="L138" s="254"/>
      <c r="M138" s="254"/>
      <c r="O138" s="225"/>
      <c r="P138" s="225"/>
    </row>
    <row r="139" spans="1:16" s="224" customFormat="1" ht="18" customHeight="1" hidden="1">
      <c r="A139" s="252"/>
      <c r="B139" s="251">
        <v>127</v>
      </c>
      <c r="C139" s="233">
        <f t="shared" si="39"/>
      </c>
      <c r="D139" s="233">
        <f t="shared" si="40"/>
      </c>
      <c r="E139" s="233">
        <f t="shared" si="41"/>
      </c>
      <c r="F139" s="216"/>
      <c r="G139" s="216"/>
      <c r="H139" s="253"/>
      <c r="I139" s="254"/>
      <c r="J139" s="254"/>
      <c r="K139" s="253"/>
      <c r="L139" s="254"/>
      <c r="M139" s="254"/>
      <c r="O139" s="225"/>
      <c r="P139" s="225"/>
    </row>
    <row r="140" spans="1:16" s="224" customFormat="1" ht="18" customHeight="1" hidden="1">
      <c r="A140" s="252"/>
      <c r="B140" s="251">
        <v>128</v>
      </c>
      <c r="C140" s="233">
        <f t="shared" si="39"/>
        <v>0</v>
      </c>
      <c r="D140" s="233">
        <f t="shared" si="40"/>
        <v>0</v>
      </c>
      <c r="E140" s="233">
        <f t="shared" si="41"/>
      </c>
      <c r="F140" s="216"/>
      <c r="G140" s="216"/>
      <c r="H140" s="253"/>
      <c r="I140" s="254"/>
      <c r="J140" s="254"/>
      <c r="K140" s="253"/>
      <c r="L140" s="254"/>
      <c r="M140" s="254"/>
      <c r="O140" s="225"/>
      <c r="P140" s="225"/>
    </row>
    <row r="141" spans="1:16" s="224" customFormat="1" ht="18" customHeight="1" hidden="1">
      <c r="A141" s="252"/>
      <c r="B141" s="251">
        <v>129</v>
      </c>
      <c r="C141" s="233">
        <f t="shared" si="39"/>
        <v>0</v>
      </c>
      <c r="D141" s="233">
        <f t="shared" si="40"/>
        <v>0</v>
      </c>
      <c r="E141" s="233" t="str">
        <f t="shared" si="41"/>
        <v>Gressner, Thomas</v>
      </c>
      <c r="F141" s="216"/>
      <c r="G141" s="216"/>
      <c r="H141" s="253"/>
      <c r="I141" s="254"/>
      <c r="J141" s="254"/>
      <c r="K141" s="253"/>
      <c r="L141" s="254"/>
      <c r="M141" s="254"/>
      <c r="O141" s="225"/>
      <c r="P141" s="225"/>
    </row>
    <row r="142" spans="1:32" s="230" customFormat="1" ht="15" customHeight="1" thickBot="1">
      <c r="A142" s="628" t="s">
        <v>6</v>
      </c>
      <c r="B142" s="628"/>
      <c r="C142" s="628"/>
      <c r="D142" s="628"/>
      <c r="E142" s="628"/>
      <c r="F142" s="629"/>
      <c r="G142" s="629"/>
      <c r="H142" s="628"/>
      <c r="I142" s="629"/>
      <c r="J142" s="629"/>
      <c r="K142" s="628"/>
      <c r="L142" s="629"/>
      <c r="M142" s="629"/>
      <c r="N142" s="628"/>
      <c r="O142" s="629"/>
      <c r="P142" s="629"/>
      <c r="Q142" s="628"/>
      <c r="R142" s="233"/>
      <c r="S142" s="233"/>
      <c r="T142" s="226"/>
      <c r="U142" s="224"/>
      <c r="V142" s="224"/>
      <c r="W142" s="226"/>
      <c r="X142" s="224"/>
      <c r="Y142" s="224"/>
      <c r="Z142" s="226"/>
      <c r="AA142" s="224"/>
      <c r="AB142" s="224"/>
      <c r="AC142" s="226"/>
      <c r="AD142" s="224"/>
      <c r="AE142" s="224"/>
      <c r="AF142" s="226"/>
    </row>
    <row r="143" spans="1:32" s="230" customFormat="1" ht="12.75" customHeight="1" thickBot="1" thickTop="1">
      <c r="A143" s="631" t="s">
        <v>105</v>
      </c>
      <c r="B143" s="255"/>
      <c r="C143" s="625" t="s">
        <v>105</v>
      </c>
      <c r="D143" s="626"/>
      <c r="E143" s="627"/>
      <c r="F143" s="625" t="s">
        <v>105</v>
      </c>
      <c r="G143" s="626"/>
      <c r="H143" s="627"/>
      <c r="I143" s="625" t="s">
        <v>105</v>
      </c>
      <c r="J143" s="626"/>
      <c r="K143" s="627"/>
      <c r="L143" s="625" t="s">
        <v>105</v>
      </c>
      <c r="M143" s="626"/>
      <c r="N143" s="627"/>
      <c r="O143" s="625" t="s">
        <v>105</v>
      </c>
      <c r="P143" s="626"/>
      <c r="Q143" s="627"/>
      <c r="R143" s="233"/>
      <c r="S143" s="233"/>
      <c r="T143" s="226"/>
      <c r="U143" s="224"/>
      <c r="V143" s="224"/>
      <c r="W143" s="226"/>
      <c r="X143" s="224"/>
      <c r="Y143" s="224"/>
      <c r="Z143" s="226"/>
      <c r="AA143" s="224"/>
      <c r="AB143" s="224"/>
      <c r="AC143" s="226"/>
      <c r="AD143" s="224"/>
      <c r="AE143" s="224"/>
      <c r="AF143" s="226"/>
    </row>
    <row r="144" spans="1:32" s="230" customFormat="1" ht="12.75" customHeight="1" thickTop="1">
      <c r="A144" s="632"/>
      <c r="B144" s="256"/>
      <c r="C144" s="645" t="s">
        <v>311</v>
      </c>
      <c r="D144" s="646"/>
      <c r="E144" s="647"/>
      <c r="F144" s="645" t="s">
        <v>218</v>
      </c>
      <c r="G144" s="646"/>
      <c r="H144" s="647"/>
      <c r="I144" s="645" t="s">
        <v>317</v>
      </c>
      <c r="J144" s="646"/>
      <c r="K144" s="647"/>
      <c r="L144" s="645" t="s">
        <v>318</v>
      </c>
      <c r="M144" s="646"/>
      <c r="N144" s="647"/>
      <c r="O144" s="645" t="s">
        <v>319</v>
      </c>
      <c r="P144" s="646"/>
      <c r="Q144" s="647"/>
      <c r="R144" s="233"/>
      <c r="S144" s="233"/>
      <c r="T144" s="226"/>
      <c r="U144" s="224"/>
      <c r="V144" s="224"/>
      <c r="W144" s="226"/>
      <c r="X144" s="224"/>
      <c r="Y144" s="224"/>
      <c r="Z144" s="226"/>
      <c r="AA144" s="224"/>
      <c r="AB144" s="224"/>
      <c r="AC144" s="226"/>
      <c r="AD144" s="224"/>
      <c r="AE144" s="224"/>
      <c r="AF144" s="226"/>
    </row>
    <row r="145" spans="1:32" s="203" customFormat="1" ht="12.75" customHeight="1" thickBot="1">
      <c r="A145" s="633"/>
      <c r="B145" s="239"/>
      <c r="C145" s="648" t="s">
        <v>353</v>
      </c>
      <c r="D145" s="649"/>
      <c r="E145" s="650"/>
      <c r="F145" s="648" t="s">
        <v>336</v>
      </c>
      <c r="G145" s="649"/>
      <c r="H145" s="650"/>
      <c r="I145" s="648" t="s">
        <v>405</v>
      </c>
      <c r="J145" s="649"/>
      <c r="K145" s="650"/>
      <c r="L145" s="648" t="s">
        <v>351</v>
      </c>
      <c r="M145" s="649"/>
      <c r="N145" s="650"/>
      <c r="O145" s="648" t="s">
        <v>326</v>
      </c>
      <c r="P145" s="649"/>
      <c r="Q145" s="650"/>
      <c r="R145" s="233"/>
      <c r="S145" s="233"/>
      <c r="T145" s="226"/>
      <c r="U145" s="224"/>
      <c r="V145" s="224"/>
      <c r="W145" s="226"/>
      <c r="X145" s="224"/>
      <c r="Y145" s="224"/>
      <c r="Z145" s="226"/>
      <c r="AA145" s="224"/>
      <c r="AB145" s="224"/>
      <c r="AC145" s="226"/>
      <c r="AD145" s="224"/>
      <c r="AE145" s="224"/>
      <c r="AF145" s="226"/>
    </row>
    <row r="146" spans="1:31" s="230" customFormat="1" ht="12.75" customHeight="1" thickBot="1" thickTop="1">
      <c r="A146" s="630" t="s">
        <v>38</v>
      </c>
      <c r="B146" s="237"/>
      <c r="C146" s="175" t="s">
        <v>109</v>
      </c>
      <c r="D146" s="176" t="s">
        <v>18</v>
      </c>
      <c r="E146" s="177" t="s">
        <v>110</v>
      </c>
      <c r="F146" s="175" t="s">
        <v>109</v>
      </c>
      <c r="G146" s="176" t="s">
        <v>18</v>
      </c>
      <c r="H146" s="177" t="s">
        <v>110</v>
      </c>
      <c r="I146" s="175" t="s">
        <v>109</v>
      </c>
      <c r="J146" s="176" t="s">
        <v>18</v>
      </c>
      <c r="K146" s="177" t="s">
        <v>110</v>
      </c>
      <c r="L146" s="175" t="s">
        <v>109</v>
      </c>
      <c r="M146" s="176" t="s">
        <v>18</v>
      </c>
      <c r="N146" s="177" t="s">
        <v>110</v>
      </c>
      <c r="O146" s="175" t="s">
        <v>109</v>
      </c>
      <c r="P146" s="176" t="s">
        <v>18</v>
      </c>
      <c r="Q146" s="177" t="s">
        <v>110</v>
      </c>
      <c r="R146" s="216"/>
      <c r="S146" s="216"/>
      <c r="U146" s="257"/>
      <c r="V146" s="257"/>
      <c r="X146" s="257"/>
      <c r="Y146" s="257"/>
      <c r="AA146" s="257"/>
      <c r="AB146" s="257"/>
      <c r="AD146" s="257"/>
      <c r="AE146" s="257"/>
    </row>
    <row r="147" spans="1:32" s="203" customFormat="1" ht="12.75" customHeight="1">
      <c r="A147" s="621"/>
      <c r="B147" s="258"/>
      <c r="C147" s="158">
        <f>IF('Spielereinsatzliste B1'!B15="","",'Spielereinsatzliste B1'!B15)</f>
      </c>
      <c r="D147" s="159">
        <f>IF('Spielereinsatzliste B1'!C15="","",'Spielereinsatzliste B1'!C15)</f>
      </c>
      <c r="E147" s="172" t="str">
        <f>IF('Spielereinsatzliste B1'!D15="","",'Spielereinsatzliste B1'!D15)</f>
        <v>Braun, Dietmar</v>
      </c>
      <c r="F147" s="158">
        <f>IF('Spielereinsatzliste B2'!B15="","",'Spielereinsatzliste B2'!B15)</f>
      </c>
      <c r="G147" s="159">
        <f>IF('Spielereinsatzliste B2'!C15="","",'Spielereinsatzliste B2'!C15)</f>
      </c>
      <c r="H147" s="172" t="str">
        <f>IF('Spielereinsatzliste B2'!D15="","",'Spielereinsatzliste B2'!D15)</f>
        <v>Zwinscher Bernd</v>
      </c>
      <c r="I147" s="158">
        <f>IF('Spielereinsatzliste B3'!B15="","",'Spielereinsatzliste B3'!B15)</f>
      </c>
      <c r="J147" s="159">
        <f>IF('Spielereinsatzliste B3'!C15="","",'Spielereinsatzliste B3'!C15)</f>
      </c>
      <c r="K147" s="172" t="str">
        <f>IF('Spielereinsatzliste B3'!D15="","",'Spielereinsatzliste B3'!D15)</f>
        <v>Cymera, Detlef</v>
      </c>
      <c r="L147" s="158">
        <f>IF('Spielereinsatzliste B4'!B15="","",'Spielereinsatzliste B4'!B15)</f>
        <v>1</v>
      </c>
      <c r="M147" s="159" t="str">
        <f>IF('Spielereinsatzliste B4'!C15="","",'Spielereinsatzliste B4'!C15)</f>
        <v>X</v>
      </c>
      <c r="N147" s="172" t="str">
        <f>IF('Spielereinsatzliste B4'!D15="","",'Spielereinsatzliste B4'!D15)</f>
        <v>Junginger, Hanspeter</v>
      </c>
      <c r="O147" s="158">
        <f>IF('Spielereinsatzliste B5'!B15="","",'Spielereinsatzliste B5'!B15)</f>
      </c>
      <c r="P147" s="159" t="str">
        <f>IF('Spielereinsatzliste B5'!C15="","",'Spielereinsatzliste B5'!C15)</f>
        <v>X</v>
      </c>
      <c r="Q147" s="172" t="str">
        <f>IF('Spielereinsatzliste B5'!D15="","",'Spielereinsatzliste B5'!D15)</f>
        <v>Großer Andre´</v>
      </c>
      <c r="R147" s="233"/>
      <c r="S147" s="233"/>
      <c r="T147" s="226"/>
      <c r="U147" s="224"/>
      <c r="V147" s="224"/>
      <c r="W147" s="226"/>
      <c r="X147" s="224"/>
      <c r="Y147" s="224"/>
      <c r="Z147" s="226"/>
      <c r="AA147" s="224"/>
      <c r="AB147" s="224"/>
      <c r="AC147" s="226"/>
      <c r="AD147" s="224"/>
      <c r="AE147" s="224"/>
      <c r="AF147" s="226"/>
    </row>
    <row r="148" spans="1:32" s="203" customFormat="1" ht="12.75" customHeight="1">
      <c r="A148" s="621"/>
      <c r="B148" s="259"/>
      <c r="C148" s="162">
        <f>IF('Spielereinsatzliste B1'!B16="","",'Spielereinsatzliste B1'!B16)</f>
      </c>
      <c r="D148" s="163">
        <f>IF('Spielereinsatzliste B1'!C16="","",'Spielereinsatzliste B1'!C16)</f>
      </c>
      <c r="E148" s="161" t="str">
        <f>IF('Spielereinsatzliste B1'!D16="","",'Spielereinsatzliste B1'!D16)</f>
        <v>Brust, Jürgen</v>
      </c>
      <c r="F148" s="162">
        <f>IF('Spielereinsatzliste B2'!B16="","",'Spielereinsatzliste B2'!B16)</f>
      </c>
      <c r="G148" s="163">
        <f>IF('Spielereinsatzliste B2'!C16="","",'Spielereinsatzliste B2'!C16)</f>
      </c>
      <c r="H148" s="161" t="str">
        <f>IF('Spielereinsatzliste B2'!D16="","",'Spielereinsatzliste B2'!D16)</f>
        <v>Ruschka Roland</v>
      </c>
      <c r="I148" s="162">
        <f>IF('Spielereinsatzliste B3'!B16="","",'Spielereinsatzliste B3'!B16)</f>
        <v>11</v>
      </c>
      <c r="J148" s="163">
        <f>IF('Spielereinsatzliste B3'!C16="","",'Spielereinsatzliste B3'!C16)</f>
      </c>
      <c r="K148" s="161" t="str">
        <f>IF('Spielereinsatzliste B3'!D16="","",'Spielereinsatzliste B3'!D16)</f>
        <v>Schmidt, Frank</v>
      </c>
      <c r="L148" s="162">
        <f>IF('Spielereinsatzliste B4'!B16="","",'Spielereinsatzliste B4'!B16)</f>
        <v>2</v>
      </c>
      <c r="M148" s="163">
        <f>IF('Spielereinsatzliste B4'!C16="","",'Spielereinsatzliste B4'!C16)</f>
      </c>
      <c r="N148" s="161" t="str">
        <f>IF('Spielereinsatzliste B4'!D16="","",'Spielereinsatzliste B4'!D16)</f>
        <v>Welz, Michael</v>
      </c>
      <c r="O148" s="162">
        <f>IF('Spielereinsatzliste B5'!B16="","",'Spielereinsatzliste B5'!B16)</f>
      </c>
      <c r="P148" s="163">
        <f>IF('Spielereinsatzliste B5'!C16="","",'Spielereinsatzliste B5'!C16)</f>
      </c>
      <c r="Q148" s="161" t="str">
        <f>IF('Spielereinsatzliste B5'!D16="","",'Spielereinsatzliste B5'!D16)</f>
        <v>Marsch Thomas</v>
      </c>
      <c r="R148" s="233"/>
      <c r="S148" s="233"/>
      <c r="T148" s="226"/>
      <c r="U148" s="224"/>
      <c r="V148" s="224"/>
      <c r="W148" s="226"/>
      <c r="X148" s="224"/>
      <c r="Y148" s="224"/>
      <c r="Z148" s="226"/>
      <c r="AA148" s="224"/>
      <c r="AB148" s="224"/>
      <c r="AC148" s="226"/>
      <c r="AD148" s="224"/>
      <c r="AE148" s="224"/>
      <c r="AF148" s="226"/>
    </row>
    <row r="149" spans="1:32" s="203" customFormat="1" ht="12.75" customHeight="1">
      <c r="A149" s="621"/>
      <c r="B149" s="259"/>
      <c r="C149" s="162">
        <f>IF('Spielereinsatzliste B1'!B17="","",'Spielereinsatzliste B1'!B17)</f>
      </c>
      <c r="D149" s="163">
        <f>IF('Spielereinsatzliste B1'!C17="","",'Spielereinsatzliste B1'!C17)</f>
      </c>
      <c r="E149" s="161" t="str">
        <f>IF('Spielereinsatzliste B1'!D17="","",'Spielereinsatzliste B1'!D17)</f>
        <v>Geibel, Peter</v>
      </c>
      <c r="F149" s="162">
        <f>IF('Spielereinsatzliste B2'!B17="","",'Spielereinsatzliste B2'!B17)</f>
      </c>
      <c r="G149" s="163">
        <f>IF('Spielereinsatzliste B2'!C17="","",'Spielereinsatzliste B2'!C17)</f>
      </c>
      <c r="H149" s="161" t="str">
        <f>IF('Spielereinsatzliste B2'!D17="","",'Spielereinsatzliste B2'!D17)</f>
        <v>Ruschka Uwe</v>
      </c>
      <c r="I149" s="162">
        <f>IF('Spielereinsatzliste B3'!B17="","",'Spielereinsatzliste B3'!B17)</f>
        <v>7</v>
      </c>
      <c r="J149" s="163">
        <f>IF('Spielereinsatzliste B3'!C17="","",'Spielereinsatzliste B3'!C17)</f>
      </c>
      <c r="K149" s="161" t="str">
        <f>IF('Spielereinsatzliste B3'!D17="","",'Spielereinsatzliste B3'!D17)</f>
        <v>Euler, Thomas</v>
      </c>
      <c r="L149" s="162">
        <f>IF('Spielereinsatzliste B4'!B17="","",'Spielereinsatzliste B4'!B17)</f>
        <v>3</v>
      </c>
      <c r="M149" s="163">
        <f>IF('Spielereinsatzliste B4'!C17="","",'Spielereinsatzliste B4'!C17)</f>
      </c>
      <c r="N149" s="161" t="str">
        <f>IF('Spielereinsatzliste B4'!D17="","",'Spielereinsatzliste B4'!D17)</f>
        <v>Fuchs, Martin</v>
      </c>
      <c r="O149" s="162">
        <f>IF('Spielereinsatzliste B5'!B17="","",'Spielereinsatzliste B5'!B17)</f>
      </c>
      <c r="P149" s="163">
        <f>IF('Spielereinsatzliste B5'!C17="","",'Spielereinsatzliste B5'!C17)</f>
      </c>
      <c r="Q149" s="161" t="str">
        <f>IF('Spielereinsatzliste B5'!D17="","",'Spielereinsatzliste B5'!D17)</f>
        <v>Kammer Dietmar</v>
      </c>
      <c r="R149" s="233"/>
      <c r="S149" s="233"/>
      <c r="T149" s="226"/>
      <c r="U149" s="224"/>
      <c r="V149" s="224"/>
      <c r="W149" s="226"/>
      <c r="X149" s="224"/>
      <c r="Y149" s="224"/>
      <c r="Z149" s="226"/>
      <c r="AA149" s="224"/>
      <c r="AB149" s="224"/>
      <c r="AC149" s="226"/>
      <c r="AD149" s="224"/>
      <c r="AE149" s="224"/>
      <c r="AF149" s="226"/>
    </row>
    <row r="150" spans="1:32" s="203" customFormat="1" ht="12.75" customHeight="1">
      <c r="A150" s="621"/>
      <c r="B150" s="259"/>
      <c r="C150" s="162">
        <f>IF('Spielereinsatzliste B1'!B18="","",'Spielereinsatzliste B1'!B18)</f>
      </c>
      <c r="D150" s="163">
        <f>IF('Spielereinsatzliste B1'!C18="","",'Spielereinsatzliste B1'!C18)</f>
      </c>
      <c r="E150" s="161" t="str">
        <f>IF('Spielereinsatzliste B1'!D18="","",'Spielereinsatzliste B1'!D18)</f>
        <v>Haßler, Erik</v>
      </c>
      <c r="F150" s="162">
        <f>IF('Spielereinsatzliste B2'!B18="","",'Spielereinsatzliste B2'!B18)</f>
      </c>
      <c r="G150" s="163">
        <f>IF('Spielereinsatzliste B2'!C18="","",'Spielereinsatzliste B2'!C18)</f>
      </c>
      <c r="H150" s="161" t="str">
        <f>IF('Spielereinsatzliste B2'!D18="","",'Spielereinsatzliste B2'!D18)</f>
        <v>Kühner Kuno</v>
      </c>
      <c r="I150" s="162">
        <f>IF('Spielereinsatzliste B3'!B18="","",'Spielereinsatzliste B3'!B18)</f>
      </c>
      <c r="J150" s="163">
        <f>IF('Spielereinsatzliste B3'!C18="","",'Spielereinsatzliste B3'!C18)</f>
      </c>
      <c r="K150" s="161" t="str">
        <f>IF('Spielereinsatzliste B3'!D18="","",'Spielereinsatzliste B3'!D18)</f>
        <v>Cymera, Rainer</v>
      </c>
      <c r="L150" s="162">
        <f>IF('Spielereinsatzliste B4'!B18="","",'Spielereinsatzliste B4'!B18)</f>
        <v>4</v>
      </c>
      <c r="M150" s="163">
        <f>IF('Spielereinsatzliste B4'!C18="","",'Spielereinsatzliste B4'!C18)</f>
      </c>
      <c r="N150" s="161" t="str">
        <f>IF('Spielereinsatzliste B4'!D18="","",'Spielereinsatzliste B4'!D18)</f>
        <v>Feigl, Hans-Peter</v>
      </c>
      <c r="O150" s="162">
        <f>IF('Spielereinsatzliste B5'!B18="","",'Spielereinsatzliste B5'!B18)</f>
      </c>
      <c r="P150" s="163">
        <f>IF('Spielereinsatzliste B5'!C18="","",'Spielereinsatzliste B5'!C18)</f>
      </c>
      <c r="Q150" s="161" t="str">
        <f>IF('Spielereinsatzliste B5'!D18="","",'Spielereinsatzliste B5'!D18)</f>
        <v>Büchholz Norbert</v>
      </c>
      <c r="R150" s="233"/>
      <c r="S150" s="233"/>
      <c r="T150" s="226"/>
      <c r="U150" s="224"/>
      <c r="V150" s="224"/>
      <c r="W150" s="226"/>
      <c r="X150" s="224"/>
      <c r="Y150" s="224"/>
      <c r="Z150" s="226"/>
      <c r="AA150" s="224"/>
      <c r="AB150" s="224"/>
      <c r="AC150" s="226"/>
      <c r="AD150" s="224"/>
      <c r="AE150" s="224"/>
      <c r="AF150" s="226"/>
    </row>
    <row r="151" spans="1:32" s="203" customFormat="1" ht="12.75" customHeight="1">
      <c r="A151" s="621"/>
      <c r="B151" s="259"/>
      <c r="C151" s="162">
        <f>IF('Spielereinsatzliste B1'!B19="","",'Spielereinsatzliste B1'!B19)</f>
      </c>
      <c r="D151" s="163">
        <f>IF('Spielereinsatzliste B1'!C19="","",'Spielereinsatzliste B1'!C19)</f>
      </c>
      <c r="E151" s="161" t="str">
        <f>IF('Spielereinsatzliste B1'!D19="","",'Spielereinsatzliste B1'!D19)</f>
        <v>Kneip, Swen</v>
      </c>
      <c r="F151" s="162">
        <f>IF('Spielereinsatzliste B2'!B19="","",'Spielereinsatzliste B2'!B19)</f>
      </c>
      <c r="G151" s="163">
        <f>IF('Spielereinsatzliste B2'!C19="","",'Spielereinsatzliste B2'!C19)</f>
      </c>
      <c r="H151" s="161" t="str">
        <f>IF('Spielereinsatzliste B2'!D19="","",'Spielereinsatzliste B2'!D19)</f>
        <v>Gruber Andreas</v>
      </c>
      <c r="I151" s="162">
        <f>IF('Spielereinsatzliste B3'!B19="","",'Spielereinsatzliste B3'!B19)</f>
        <v>6</v>
      </c>
      <c r="J151" s="163">
        <f>IF('Spielereinsatzliste B3'!C19="","",'Spielereinsatzliste B3'!C19)</f>
      </c>
      <c r="K151" s="161" t="str">
        <f>IF('Spielereinsatzliste B3'!D19="","",'Spielereinsatzliste B3'!D19)</f>
        <v>Pelz, Martin</v>
      </c>
      <c r="L151" s="162">
        <f>IF('Spielereinsatzliste B4'!B19="","",'Spielereinsatzliste B4'!B19)</f>
        <v>5</v>
      </c>
      <c r="M151" s="163">
        <f>IF('Spielereinsatzliste B4'!C19="","",'Spielereinsatzliste B4'!C19)</f>
      </c>
      <c r="N151" s="161" t="str">
        <f>IF('Spielereinsatzliste B4'!D19="","",'Spielereinsatzliste B4'!D19)</f>
        <v>Ulmer, Joachim</v>
      </c>
      <c r="O151" s="162">
        <f>IF('Spielereinsatzliste B5'!B19="","",'Spielereinsatzliste B5'!B19)</f>
      </c>
      <c r="P151" s="163">
        <f>IF('Spielereinsatzliste B5'!C19="","",'Spielereinsatzliste B5'!C19)</f>
      </c>
      <c r="Q151" s="161" t="str">
        <f>IF('Spielereinsatzliste B5'!D19="","",'Spielereinsatzliste B5'!D19)</f>
        <v>Frenzel, Heiko</v>
      </c>
      <c r="R151" s="233"/>
      <c r="S151" s="233"/>
      <c r="T151" s="226"/>
      <c r="U151" s="224"/>
      <c r="V151" s="224"/>
      <c r="W151" s="226"/>
      <c r="X151" s="224"/>
      <c r="Y151" s="224"/>
      <c r="Z151" s="226"/>
      <c r="AA151" s="224"/>
      <c r="AB151" s="224"/>
      <c r="AC151" s="226"/>
      <c r="AD151" s="224"/>
      <c r="AE151" s="224"/>
      <c r="AF151" s="226"/>
    </row>
    <row r="152" spans="1:32" s="203" customFormat="1" ht="12.75" customHeight="1">
      <c r="A152" s="621"/>
      <c r="B152" s="259"/>
      <c r="C152" s="162">
        <f>IF('Spielereinsatzliste B1'!B20="","",'Spielereinsatzliste B1'!B20)</f>
      </c>
      <c r="D152" s="163" t="str">
        <f>IF('Spielereinsatzliste B1'!C20="","",'Spielereinsatzliste B1'!C20)</f>
        <v>X</v>
      </c>
      <c r="E152" s="161" t="str">
        <f>IF('Spielereinsatzliste B1'!D20="","",'Spielereinsatzliste B1'!D20)</f>
        <v>Kneip, Lutz</v>
      </c>
      <c r="F152" s="162">
        <f>IF('Spielereinsatzliste B2'!B20="","",'Spielereinsatzliste B2'!B20)</f>
      </c>
      <c r="G152" s="163">
        <f>IF('Spielereinsatzliste B2'!C20="","",'Spielereinsatzliste B2'!C20)</f>
      </c>
      <c r="H152" s="161" t="str">
        <f>IF('Spielereinsatzliste B2'!D20="","",'Spielereinsatzliste B2'!D20)</f>
        <v>Heinle Manfred</v>
      </c>
      <c r="I152" s="162">
        <f>IF('Spielereinsatzliste B3'!B20="","",'Spielereinsatzliste B3'!B20)</f>
        <v>10</v>
      </c>
      <c r="J152" s="163" t="str">
        <f>IF('Spielereinsatzliste B3'!C20="","",'Spielereinsatzliste B3'!C20)</f>
        <v>X</v>
      </c>
      <c r="K152" s="161" t="str">
        <f>IF('Spielereinsatzliste B3'!D20="","",'Spielereinsatzliste B3'!D20)</f>
        <v>Mehle, Udo</v>
      </c>
      <c r="L152" s="162">
        <f>IF('Spielereinsatzliste B4'!B20="","",'Spielereinsatzliste B4'!B20)</f>
        <v>6</v>
      </c>
      <c r="M152" s="163">
        <f>IF('Spielereinsatzliste B4'!C20="","",'Spielereinsatzliste B4'!C20)</f>
      </c>
      <c r="N152" s="161" t="str">
        <f>IF('Spielereinsatzliste B4'!D20="","",'Spielereinsatzliste B4'!D20)</f>
        <v>Kopplin, Klaus</v>
      </c>
      <c r="O152" s="162">
        <f>IF('Spielereinsatzliste B5'!B20="","",'Spielereinsatzliste B5'!B20)</f>
      </c>
      <c r="P152" s="163">
        <f>IF('Spielereinsatzliste B5'!C20="","",'Spielereinsatzliste B5'!C20)</f>
      </c>
      <c r="Q152" s="161" t="str">
        <f>IF('Spielereinsatzliste B5'!D20="","",'Spielereinsatzliste B5'!D20)</f>
        <v>Hrudzik, Ralf</v>
      </c>
      <c r="R152" s="233"/>
      <c r="S152" s="233"/>
      <c r="T152" s="226"/>
      <c r="U152" s="224"/>
      <c r="V152" s="224"/>
      <c r="W152" s="226"/>
      <c r="X152" s="224"/>
      <c r="Y152" s="224"/>
      <c r="Z152" s="226"/>
      <c r="AA152" s="224"/>
      <c r="AB152" s="224"/>
      <c r="AC152" s="226"/>
      <c r="AD152" s="224"/>
      <c r="AE152" s="224"/>
      <c r="AF152" s="226"/>
    </row>
    <row r="153" spans="1:32" s="203" customFormat="1" ht="12.75" customHeight="1">
      <c r="A153" s="621"/>
      <c r="B153" s="259"/>
      <c r="C153" s="162">
        <f>IF('Spielereinsatzliste B1'!B21="","",'Spielereinsatzliste B1'!B21)</f>
      </c>
      <c r="D153" s="163">
        <f>IF('Spielereinsatzliste B1'!C21="","",'Spielereinsatzliste B1'!C21)</f>
      </c>
      <c r="E153" s="161" t="str">
        <f>IF('Spielereinsatzliste B1'!D21="","",'Spielereinsatzliste B1'!D21)</f>
        <v>Utta, Frank</v>
      </c>
      <c r="F153" s="162">
        <f>IF('Spielereinsatzliste B2'!B21="","",'Spielereinsatzliste B2'!B21)</f>
      </c>
      <c r="G153" s="163">
        <f>IF('Spielereinsatzliste B2'!C21="","",'Spielereinsatzliste B2'!C21)</f>
      </c>
      <c r="H153" s="161" t="str">
        <f>IF('Spielereinsatzliste B2'!D21="","",'Spielereinsatzliste B2'!D21)</f>
        <v>Schollenberger Herbert</v>
      </c>
      <c r="I153" s="162">
        <f>IF('Spielereinsatzliste B3'!B21="","",'Spielereinsatzliste B3'!B21)</f>
        <v>15</v>
      </c>
      <c r="J153" s="163">
        <f>IF('Spielereinsatzliste B3'!C21="","",'Spielereinsatzliste B3'!C21)</f>
      </c>
      <c r="K153" s="161" t="str">
        <f>IF('Spielereinsatzliste B3'!D21="","",'Spielereinsatzliste B3'!D21)</f>
        <v>Meller, Thomas</v>
      </c>
      <c r="L153" s="162">
        <f>IF('Spielereinsatzliste B4'!B21="","",'Spielereinsatzliste B4'!B21)</f>
        <v>7</v>
      </c>
      <c r="M153" s="163">
        <f>IF('Spielereinsatzliste B4'!C21="","",'Spielereinsatzliste B4'!C21)</f>
      </c>
      <c r="N153" s="161" t="str">
        <f>IF('Spielereinsatzliste B4'!D21="","",'Spielereinsatzliste B4'!D21)</f>
        <v>Bürkle, Stefan</v>
      </c>
      <c r="O153" s="162">
        <f>IF('Spielereinsatzliste B5'!B21="","",'Spielereinsatzliste B5'!B21)</f>
      </c>
      <c r="P153" s="163">
        <f>IF('Spielereinsatzliste B5'!C21="","",'Spielereinsatzliste B5'!C21)</f>
      </c>
      <c r="Q153" s="161" t="str">
        <f>IF('Spielereinsatzliste B5'!D21="","",'Spielereinsatzliste B5'!D21)</f>
        <v>Marsch, Andre´</v>
      </c>
      <c r="R153" s="233"/>
      <c r="S153" s="233"/>
      <c r="T153" s="226"/>
      <c r="U153" s="224"/>
      <c r="V153" s="224"/>
      <c r="W153" s="226"/>
      <c r="X153" s="224"/>
      <c r="Y153" s="224"/>
      <c r="Z153" s="226"/>
      <c r="AA153" s="224"/>
      <c r="AB153" s="224"/>
      <c r="AC153" s="226"/>
      <c r="AD153" s="224"/>
      <c r="AE153" s="224"/>
      <c r="AF153" s="226"/>
    </row>
    <row r="154" spans="1:32" s="203" customFormat="1" ht="12.75" customHeight="1">
      <c r="A154" s="622"/>
      <c r="B154" s="260"/>
      <c r="C154" s="162">
        <f>IF('Spielereinsatzliste B1'!B22="","",'Spielereinsatzliste B1'!B22)</f>
      </c>
      <c r="D154" s="163">
        <f>IF('Spielereinsatzliste B1'!C22="","",'Spielereinsatzliste B1'!C22)</f>
      </c>
      <c r="E154" s="161" t="str">
        <f>IF('Spielereinsatzliste B1'!D22="","",'Spielereinsatzliste B1'!D22)</f>
        <v>Wagner, Stephan</v>
      </c>
      <c r="F154" s="162">
        <f>IF('Spielereinsatzliste B2'!B22="","",'Spielereinsatzliste B2'!B22)</f>
      </c>
      <c r="G154" s="163">
        <f>IF('Spielereinsatzliste B2'!C22="","",'Spielereinsatzliste B2'!C22)</f>
      </c>
      <c r="H154" s="161" t="str">
        <f>IF('Spielereinsatzliste B2'!D22="","",'Spielereinsatzliste B2'!D22)</f>
        <v>Tremmel Armin</v>
      </c>
      <c r="I154" s="162">
        <f>IF('Spielereinsatzliste B3'!B22="","",'Spielereinsatzliste B3'!B22)</f>
        <v>19</v>
      </c>
      <c r="J154" s="163">
        <f>IF('Spielereinsatzliste B3'!C22="","",'Spielereinsatzliste B3'!C22)</f>
      </c>
      <c r="K154" s="161" t="str">
        <f>IF('Spielereinsatzliste B3'!D22="","",'Spielereinsatzliste B3'!D22)</f>
        <v>Theurig, Marcus</v>
      </c>
      <c r="L154" s="162">
        <f>IF('Spielereinsatzliste B4'!B22="","",'Spielereinsatzliste B4'!B22)</f>
        <v>8</v>
      </c>
      <c r="M154" s="163">
        <f>IF('Spielereinsatzliste B4'!C22="","",'Spielereinsatzliste B4'!C22)</f>
      </c>
      <c r="N154" s="161" t="str">
        <f>IF('Spielereinsatzliste B4'!D22="","",'Spielereinsatzliste B4'!D22)</f>
        <v>Göck, Sepp-Dieter</v>
      </c>
      <c r="O154" s="162">
        <f>IF('Spielereinsatzliste B5'!B22="","",'Spielereinsatzliste B5'!B22)</f>
      </c>
      <c r="P154" s="163">
        <f>IF('Spielereinsatzliste B5'!C22="","",'Spielereinsatzliste B5'!C22)</f>
      </c>
      <c r="Q154" s="161" t="str">
        <f>IF('Spielereinsatzliste B5'!D22="","",'Spielereinsatzliste B5'!D22)</f>
        <v>Köhn, Hartmut</v>
      </c>
      <c r="R154" s="233"/>
      <c r="S154" s="233"/>
      <c r="T154" s="226"/>
      <c r="U154" s="224"/>
      <c r="V154" s="224"/>
      <c r="W154" s="226"/>
      <c r="X154" s="224"/>
      <c r="Y154" s="224"/>
      <c r="Z154" s="226"/>
      <c r="AA154" s="224"/>
      <c r="AB154" s="224"/>
      <c r="AC154" s="226"/>
      <c r="AD154" s="224"/>
      <c r="AE154" s="224"/>
      <c r="AF154" s="226"/>
    </row>
    <row r="155" spans="1:32" s="203" customFormat="1" ht="12.75" customHeight="1">
      <c r="A155" s="622"/>
      <c r="B155" s="260"/>
      <c r="C155" s="162">
        <f>IF('Spielereinsatzliste B1'!B23="","",'Spielereinsatzliste B1'!B23)</f>
      </c>
      <c r="D155" s="163">
        <f>IF('Spielereinsatzliste B1'!C23="","",'Spielereinsatzliste B1'!C23)</f>
      </c>
      <c r="E155" s="161">
        <f>IF('Spielereinsatzliste B1'!D23="","",'Spielereinsatzliste B1'!D23)</f>
      </c>
      <c r="F155" s="162">
        <f>IF('Spielereinsatzliste B2'!B23="","",'Spielereinsatzliste B2'!B23)</f>
      </c>
      <c r="G155" s="163">
        <f>IF('Spielereinsatzliste B2'!C23="","",'Spielereinsatzliste B2'!C23)</f>
      </c>
      <c r="H155" s="161" t="str">
        <f>IF('Spielereinsatzliste B2'!D23="","",'Spielereinsatzliste B2'!D23)</f>
        <v>Spiegel Dirk</v>
      </c>
      <c r="I155" s="162">
        <f>IF('Spielereinsatzliste B3'!B23="","",'Spielereinsatzliste B3'!B23)</f>
      </c>
      <c r="J155" s="163">
        <f>IF('Spielereinsatzliste B3'!C23="","",'Spielereinsatzliste B3'!C23)</f>
      </c>
      <c r="K155" s="161" t="str">
        <f>IF('Spielereinsatzliste B3'!D23="","",'Spielereinsatzliste B3'!D23)</f>
        <v>von Laufenberg, Frank</v>
      </c>
      <c r="L155" s="162">
        <f>IF('Spielereinsatzliste B4'!B23="","",'Spielereinsatzliste B4'!B23)</f>
      </c>
      <c r="M155" s="163">
        <f>IF('Spielereinsatzliste B4'!C23="","",'Spielereinsatzliste B4'!C23)</f>
      </c>
      <c r="N155" s="161">
        <f>IF('Spielereinsatzliste B4'!D23="","",'Spielereinsatzliste B4'!D23)</f>
      </c>
      <c r="O155" s="162">
        <f>IF('Spielereinsatzliste B5'!B23="","",'Spielereinsatzliste B5'!B23)</f>
      </c>
      <c r="P155" s="163">
        <f>IF('Spielereinsatzliste B5'!C23="","",'Spielereinsatzliste B5'!C23)</f>
      </c>
      <c r="Q155" s="161" t="str">
        <f>IF('Spielereinsatzliste B5'!D23="","",'Spielereinsatzliste B5'!D23)</f>
        <v>Schneider, Frank</v>
      </c>
      <c r="R155" s="233"/>
      <c r="S155" s="233"/>
      <c r="T155" s="226"/>
      <c r="U155" s="224"/>
      <c r="V155" s="224"/>
      <c r="W155" s="226"/>
      <c r="X155" s="224"/>
      <c r="Y155" s="224"/>
      <c r="Z155" s="226"/>
      <c r="AA155" s="224"/>
      <c r="AB155" s="224"/>
      <c r="AC155" s="226"/>
      <c r="AD155" s="224"/>
      <c r="AE155" s="224"/>
      <c r="AF155" s="226"/>
    </row>
    <row r="156" spans="1:32" s="203" customFormat="1" ht="12.75" customHeight="1" thickBot="1">
      <c r="A156" s="622"/>
      <c r="B156" s="260"/>
      <c r="C156" s="164">
        <f>IF('Spielereinsatzliste B1'!B24="","",'Spielereinsatzliste B1'!B24)</f>
      </c>
      <c r="D156" s="165">
        <f>IF('Spielereinsatzliste B1'!C24="","",'Spielereinsatzliste B1'!C24)</f>
      </c>
      <c r="E156" s="166">
        <f>IF('Spielereinsatzliste B1'!D24="","",'Spielereinsatzliste B1'!D24)</f>
      </c>
      <c r="F156" s="164">
        <f>IF('Spielereinsatzliste B2'!B24="","",'Spielereinsatzliste B2'!B24)</f>
      </c>
      <c r="G156" s="165">
        <f>IF('Spielereinsatzliste B2'!C24="","",'Spielereinsatzliste B2'!C24)</f>
      </c>
      <c r="H156" s="166" t="str">
        <f>IF('Spielereinsatzliste B2'!D24="","",'Spielereinsatzliste B2'!D24)</f>
        <v> </v>
      </c>
      <c r="I156" s="164">
        <f>IF('Spielereinsatzliste B3'!B24="","",'Spielereinsatzliste B3'!B24)</f>
      </c>
      <c r="J156" s="165">
        <f>IF('Spielereinsatzliste B3'!C24="","",'Spielereinsatzliste B3'!C24)</f>
      </c>
      <c r="K156" s="166">
        <f>IF('Spielereinsatzliste B3'!D24="","",'Spielereinsatzliste B3'!D24)</f>
      </c>
      <c r="L156" s="164">
        <f>IF('Spielereinsatzliste B4'!B24="","",'Spielereinsatzliste B4'!B24)</f>
      </c>
      <c r="M156" s="165">
        <f>IF('Spielereinsatzliste B4'!C24="","",'Spielereinsatzliste B4'!C24)</f>
      </c>
      <c r="N156" s="166">
        <f>IF('Spielereinsatzliste B4'!D24="","",'Spielereinsatzliste B4'!D24)</f>
      </c>
      <c r="O156" s="164">
        <f>IF('Spielereinsatzliste B5'!B24="","",'Spielereinsatzliste B5'!B24)</f>
      </c>
      <c r="P156" s="165">
        <f>IF('Spielereinsatzliste B5'!C24="","",'Spielereinsatzliste B5'!C24)</f>
      </c>
      <c r="Q156" s="166">
        <f>IF('Spielereinsatzliste B5'!D24="","",'Spielereinsatzliste B5'!D24)</f>
      </c>
      <c r="R156" s="233"/>
      <c r="S156" s="233"/>
      <c r="T156" s="226"/>
      <c r="U156" s="224"/>
      <c r="V156" s="224"/>
      <c r="W156" s="226"/>
      <c r="X156" s="224"/>
      <c r="Y156" s="224"/>
      <c r="Z156" s="226"/>
      <c r="AA156" s="224"/>
      <c r="AB156" s="224"/>
      <c r="AC156" s="226"/>
      <c r="AD156" s="224"/>
      <c r="AE156" s="224"/>
      <c r="AF156" s="226"/>
    </row>
    <row r="157" spans="1:32" s="203" customFormat="1" ht="12.75" customHeight="1">
      <c r="A157" s="173" t="s">
        <v>39</v>
      </c>
      <c r="B157" s="261"/>
      <c r="C157" s="167"/>
      <c r="D157" s="168"/>
      <c r="E157" s="160" t="str">
        <f>IF('Spielereinsatzliste B1'!D25="","",'Spielereinsatzliste B1'!D25)</f>
        <v>Leutheuser, Heiko</v>
      </c>
      <c r="F157" s="167"/>
      <c r="G157" s="168"/>
      <c r="H157" s="160" t="str">
        <f>IF('Spielereinsatzliste B2'!D25="","",'Spielereinsatzliste B2'!D25)</f>
        <v>Kühner Kuno</v>
      </c>
      <c r="I157" s="167"/>
      <c r="J157" s="168"/>
      <c r="K157" s="160">
        <f>IF('Spielereinsatzliste B3'!D25="","",'Spielereinsatzliste B3'!D25)</f>
      </c>
      <c r="L157" s="167"/>
      <c r="M157" s="168"/>
      <c r="N157" s="160">
        <f>IF('Spielereinsatzliste B4'!D25="","",'Spielereinsatzliste B4'!D25)</f>
      </c>
      <c r="O157" s="167"/>
      <c r="P157" s="168"/>
      <c r="Q157" s="160">
        <f>IF('Spielereinsatzliste B5'!D25="","",'Spielereinsatzliste B5'!D25)</f>
      </c>
      <c r="R157" s="233"/>
      <c r="S157" s="233"/>
      <c r="T157" s="226"/>
      <c r="U157" s="224"/>
      <c r="V157" s="224"/>
      <c r="W157" s="226"/>
      <c r="X157" s="224"/>
      <c r="Y157" s="224"/>
      <c r="Z157" s="226"/>
      <c r="AA157" s="224"/>
      <c r="AB157" s="224"/>
      <c r="AC157" s="226"/>
      <c r="AD157" s="224"/>
      <c r="AE157" s="224"/>
      <c r="AF157" s="226"/>
    </row>
    <row r="158" spans="1:32" s="203" customFormat="1" ht="12.75" customHeight="1" thickBot="1">
      <c r="A158" s="174" t="s">
        <v>40</v>
      </c>
      <c r="B158" s="262"/>
      <c r="C158" s="169"/>
      <c r="D158" s="170"/>
      <c r="E158" s="171">
        <f>IF('Spielereinsatzliste B1'!D26="","",'Spielereinsatzliste B1'!D26)</f>
      </c>
      <c r="F158" s="169"/>
      <c r="G158" s="170"/>
      <c r="H158" s="171">
        <f>IF('Spielereinsatzliste B2'!D26="","",'Spielereinsatzliste B2'!D26)</f>
      </c>
      <c r="I158" s="169"/>
      <c r="J158" s="170"/>
      <c r="K158" s="171">
        <f>IF('Spielereinsatzliste B3'!D26="","",'Spielereinsatzliste B3'!D26)</f>
      </c>
      <c r="L158" s="169"/>
      <c r="M158" s="170"/>
      <c r="N158" s="171">
        <f>IF('Spielereinsatzliste B4'!D26="","",'Spielereinsatzliste B4'!D26)</f>
      </c>
      <c r="O158" s="169"/>
      <c r="P158" s="170"/>
      <c r="Q158" s="171" t="str">
        <f>IF('Spielereinsatzliste B5'!D26="","",'Spielereinsatzliste B5'!D26)</f>
        <v>Gressner, Thomas</v>
      </c>
      <c r="R158" s="233"/>
      <c r="S158" s="233"/>
      <c r="T158" s="226"/>
      <c r="U158" s="224"/>
      <c r="V158" s="224"/>
      <c r="W158" s="226"/>
      <c r="X158" s="224"/>
      <c r="Y158" s="224"/>
      <c r="Z158" s="226"/>
      <c r="AA158" s="224"/>
      <c r="AB158" s="224"/>
      <c r="AC158" s="226"/>
      <c r="AD158" s="224"/>
      <c r="AE158" s="224"/>
      <c r="AF158" s="226"/>
    </row>
    <row r="159" spans="1:31" s="13" customFormat="1" ht="13.5" hidden="1" thickTop="1">
      <c r="A159" s="14"/>
      <c r="B159" s="23"/>
      <c r="C159" s="23"/>
      <c r="D159" s="23"/>
      <c r="E159" s="14"/>
      <c r="F159" s="23"/>
      <c r="G159" s="23"/>
      <c r="H159" s="14"/>
      <c r="I159" s="23"/>
      <c r="J159" s="23"/>
      <c r="L159" s="23"/>
      <c r="M159" s="23"/>
      <c r="O159" s="23"/>
      <c r="P159" s="23"/>
      <c r="R159" s="24"/>
      <c r="S159" s="24"/>
      <c r="U159" s="24"/>
      <c r="V159" s="24"/>
      <c r="X159" s="24"/>
      <c r="Y159" s="24"/>
      <c r="AA159" s="24"/>
      <c r="AB159" s="24"/>
      <c r="AD159" s="24"/>
      <c r="AE159" s="24"/>
    </row>
    <row r="160" spans="3:19" ht="12.75" hidden="1">
      <c r="C160"/>
      <c r="D160" s="488"/>
      <c r="E160" s="156"/>
      <c r="F160" s="156"/>
      <c r="G160"/>
      <c r="H160" s="156"/>
      <c r="I160" s="156"/>
      <c r="J160"/>
      <c r="K160" t="s">
        <v>286</v>
      </c>
      <c r="L160" s="156"/>
      <c r="M160" s="156"/>
      <c r="O160" s="156"/>
      <c r="P160" s="156"/>
      <c r="Q160">
        <f>IF($H$3=K160,YEAR($K$4)-12,0)</f>
        <v>0</v>
      </c>
      <c r="R160" s="156"/>
      <c r="S160">
        <f ca="1">IF($H$3=K160,YEAR(TODAY())-14,0)</f>
        <v>0</v>
      </c>
    </row>
    <row r="161" spans="3:19" ht="12.75" hidden="1">
      <c r="C161"/>
      <c r="D161" s="488"/>
      <c r="E161" s="156"/>
      <c r="F161" s="156"/>
      <c r="G161"/>
      <c r="H161" s="156"/>
      <c r="I161" s="156"/>
      <c r="J161"/>
      <c r="K161" t="s">
        <v>222</v>
      </c>
      <c r="L161" s="156"/>
      <c r="M161" s="156"/>
      <c r="O161" s="156"/>
      <c r="P161" s="156"/>
      <c r="Q161">
        <f>IF($H$3=K161,YEAR($K$4)-14,0)</f>
        <v>0</v>
      </c>
      <c r="R161" s="156"/>
      <c r="S161"/>
    </row>
    <row r="162" spans="3:19" ht="12.75" hidden="1">
      <c r="C162"/>
      <c r="D162" s="488"/>
      <c r="E162" s="156"/>
      <c r="F162" s="156"/>
      <c r="G162"/>
      <c r="H162" s="156"/>
      <c r="I162" s="156"/>
      <c r="J162"/>
      <c r="K162" t="s">
        <v>223</v>
      </c>
      <c r="L162" s="156"/>
      <c r="M162" s="156"/>
      <c r="O162" s="156"/>
      <c r="P162" s="156"/>
      <c r="Q162">
        <f>IF($H$3=K162,YEAR($K$4)-16,0)</f>
        <v>0</v>
      </c>
      <c r="R162" s="156"/>
      <c r="S162">
        <f ca="1">IF($H$3=K162,YEAR(TODAY())-16,0)</f>
        <v>0</v>
      </c>
    </row>
    <row r="163" spans="3:19" ht="12.75" hidden="1">
      <c r="C163"/>
      <c r="D163" s="488"/>
      <c r="E163" s="156"/>
      <c r="F163" s="156"/>
      <c r="G163"/>
      <c r="H163" s="156"/>
      <c r="I163" s="156"/>
      <c r="J163"/>
      <c r="K163" t="s">
        <v>224</v>
      </c>
      <c r="L163" s="156"/>
      <c r="M163" s="156"/>
      <c r="O163" s="156"/>
      <c r="P163" s="156"/>
      <c r="Q163">
        <f>IF($H$3=K163,YEAR($K$4)-18,0)</f>
        <v>0</v>
      </c>
      <c r="R163" s="156"/>
      <c r="S163">
        <f ca="1">IF($H$3=K163,YEAR(TODAY())-18,0)</f>
        <v>0</v>
      </c>
    </row>
    <row r="164" spans="3:19" ht="12.75" hidden="1">
      <c r="C164"/>
      <c r="D164" s="488"/>
      <c r="E164" s="156"/>
      <c r="F164" s="156"/>
      <c r="G164"/>
      <c r="H164" s="156"/>
      <c r="I164" s="156"/>
      <c r="J164"/>
      <c r="K164" t="s">
        <v>287</v>
      </c>
      <c r="L164" s="156"/>
      <c r="M164" s="156"/>
      <c r="O164" s="156"/>
      <c r="P164" s="156"/>
      <c r="Q164">
        <f>IF($H$3=K164,YEAR($K$4)-12,0)</f>
        <v>0</v>
      </c>
      <c r="R164" s="156"/>
      <c r="S164"/>
    </row>
    <row r="165" spans="3:19" ht="12.75" hidden="1">
      <c r="C165"/>
      <c r="D165" s="488"/>
      <c r="E165" s="156"/>
      <c r="F165" s="156"/>
      <c r="G165"/>
      <c r="H165" s="156"/>
      <c r="I165" s="156"/>
      <c r="J165"/>
      <c r="K165" t="s">
        <v>225</v>
      </c>
      <c r="L165" s="156"/>
      <c r="M165" s="156"/>
      <c r="O165" s="156"/>
      <c r="P165" s="156"/>
      <c r="Q165">
        <f>IF($H$3=K165,YEAR($K$4)-14,0)</f>
        <v>0</v>
      </c>
      <c r="R165" s="156"/>
      <c r="S165">
        <f ca="1">IF($H$3=K165,YEAR(TODAY())-14,0)</f>
        <v>0</v>
      </c>
    </row>
    <row r="166" spans="3:19" ht="12.75" hidden="1">
      <c r="C166"/>
      <c r="D166" s="488"/>
      <c r="E166" s="156"/>
      <c r="F166" s="156"/>
      <c r="G166"/>
      <c r="H166" s="156"/>
      <c r="I166" s="156"/>
      <c r="J166"/>
      <c r="K166" t="s">
        <v>226</v>
      </c>
      <c r="L166" s="156"/>
      <c r="M166" s="156"/>
      <c r="O166" s="156"/>
      <c r="P166" s="156"/>
      <c r="Q166">
        <f>IF($H$3=K166,YEAR($K$4)-16,0)</f>
        <v>0</v>
      </c>
      <c r="R166" s="156"/>
      <c r="S166">
        <f ca="1">IF($H$3=K166,YEAR(TODAY())-16,0)</f>
        <v>0</v>
      </c>
    </row>
    <row r="167" spans="3:19" ht="12.75" hidden="1">
      <c r="C167"/>
      <c r="D167" s="488"/>
      <c r="E167" s="156"/>
      <c r="F167" s="156"/>
      <c r="G167"/>
      <c r="H167" s="156"/>
      <c r="I167" s="156"/>
      <c r="J167"/>
      <c r="K167" t="s">
        <v>227</v>
      </c>
      <c r="L167" s="156"/>
      <c r="M167" s="156"/>
      <c r="O167" s="156"/>
      <c r="P167" s="156"/>
      <c r="Q167">
        <f>IF($H$3=K167,YEAR($K$4)-18,0)</f>
        <v>0</v>
      </c>
      <c r="R167" s="156"/>
      <c r="S167">
        <f ca="1">IF($H$3=K167,YEAR(TODAY())-18,0)</f>
        <v>0</v>
      </c>
    </row>
    <row r="168" spans="3:19" ht="12.75" hidden="1">
      <c r="C168"/>
      <c r="D168" s="488"/>
      <c r="E168" s="156"/>
      <c r="F168" s="156"/>
      <c r="G168"/>
      <c r="H168" s="156"/>
      <c r="I168" s="156"/>
      <c r="J168"/>
      <c r="K168" t="s">
        <v>229</v>
      </c>
      <c r="L168" s="156"/>
      <c r="M168" s="156"/>
      <c r="N168">
        <f>IF($H$3=K168,YEAR($K$4)-30,0)</f>
        <v>0</v>
      </c>
      <c r="O168" s="156"/>
      <c r="P168" s="156"/>
      <c r="R168" s="156"/>
      <c r="S168"/>
    </row>
    <row r="169" spans="3:19" ht="12.75" hidden="1">
      <c r="C169"/>
      <c r="D169" s="488"/>
      <c r="E169" s="156"/>
      <c r="F169" s="156"/>
      <c r="G169"/>
      <c r="H169" s="156"/>
      <c r="I169" s="156"/>
      <c r="J169"/>
      <c r="K169" t="s">
        <v>190</v>
      </c>
      <c r="L169" s="156"/>
      <c r="M169" s="156"/>
      <c r="N169">
        <f>IF($H$3=K169,YEAR($K$4)-35,0)</f>
        <v>0</v>
      </c>
      <c r="O169" s="156"/>
      <c r="P169" s="156"/>
      <c r="R169" s="156"/>
      <c r="S169"/>
    </row>
    <row r="170" spans="3:19" ht="12.75" hidden="1">
      <c r="C170"/>
      <c r="D170" s="488"/>
      <c r="E170" s="156"/>
      <c r="F170" s="156"/>
      <c r="G170"/>
      <c r="H170" s="156"/>
      <c r="I170" s="156"/>
      <c r="J170"/>
      <c r="K170" t="s">
        <v>191</v>
      </c>
      <c r="L170" s="156"/>
      <c r="M170" s="156"/>
      <c r="N170">
        <f>IF($H$3=K170,YEAR($K$4)-45,0)</f>
        <v>1965</v>
      </c>
      <c r="O170" s="156"/>
      <c r="P170" s="156"/>
      <c r="R170" s="156"/>
      <c r="S170"/>
    </row>
    <row r="171" spans="3:19" ht="12.75" hidden="1">
      <c r="C171"/>
      <c r="D171" s="488"/>
      <c r="E171" s="156"/>
      <c r="F171" s="156"/>
      <c r="G171"/>
      <c r="H171" s="156"/>
      <c r="I171" s="156"/>
      <c r="J171"/>
      <c r="K171" t="s">
        <v>192</v>
      </c>
      <c r="L171" s="156"/>
      <c r="M171" s="156"/>
      <c r="N171">
        <f>IF($H$3=K171,YEAR($K$4)-55,0)</f>
        <v>0</v>
      </c>
      <c r="O171" s="156"/>
      <c r="P171" s="156"/>
      <c r="R171" s="156"/>
      <c r="S171"/>
    </row>
    <row r="172" spans="3:19" ht="12.75" hidden="1">
      <c r="C172"/>
      <c r="D172" s="488"/>
      <c r="E172" s="156"/>
      <c r="F172" s="156"/>
      <c r="G172"/>
      <c r="H172" s="156"/>
      <c r="I172" s="156"/>
      <c r="J172"/>
      <c r="K172" t="s">
        <v>193</v>
      </c>
      <c r="L172" s="156"/>
      <c r="M172" s="156"/>
      <c r="N172">
        <f>IF($H$3=K172,YEAR($K$4)-60,0)</f>
        <v>0</v>
      </c>
      <c r="O172" s="156"/>
      <c r="P172" s="156"/>
      <c r="R172" s="156"/>
      <c r="S172"/>
    </row>
    <row r="173" spans="3:19" ht="12.75" hidden="1">
      <c r="C173"/>
      <c r="D173" s="488"/>
      <c r="E173" s="156"/>
      <c r="F173" s="156"/>
      <c r="G173"/>
      <c r="H173" s="156"/>
      <c r="I173" s="156"/>
      <c r="J173"/>
      <c r="L173" s="156"/>
      <c r="M173" s="156"/>
      <c r="N173" s="33"/>
      <c r="O173" s="156"/>
      <c r="P173" s="156"/>
      <c r="R173" s="156"/>
      <c r="S173"/>
    </row>
    <row r="174" spans="3:19" ht="12.75" hidden="1">
      <c r="C174"/>
      <c r="D174" s="488"/>
      <c r="E174" s="156"/>
      <c r="F174" s="156"/>
      <c r="G174"/>
      <c r="H174" s="156"/>
      <c r="I174" s="156"/>
      <c r="J174"/>
      <c r="L174" s="156"/>
      <c r="M174" s="156"/>
      <c r="N174">
        <f>SUM(N160:N173)</f>
        <v>1965</v>
      </c>
      <c r="O174"/>
      <c r="P174"/>
      <c r="Q174">
        <f>IF(K175&lt;5,SUM(Q160:Q173)-1,SUM(Q160:Q173))</f>
        <v>0</v>
      </c>
      <c r="R174"/>
      <c r="S174">
        <f>IF(K175&lt;5,SUM(S160:S173)-1,SUM(S160:S173))</f>
        <v>0</v>
      </c>
    </row>
    <row r="175" spans="3:19" ht="12.75" hidden="1">
      <c r="C175"/>
      <c r="D175" s="488"/>
      <c r="E175" s="156"/>
      <c r="F175" s="156"/>
      <c r="G175"/>
      <c r="H175" s="156"/>
      <c r="I175" s="156"/>
      <c r="J175"/>
      <c r="K175">
        <f>MONTH(K4)</f>
        <v>9</v>
      </c>
      <c r="L175" s="156">
        <f>YEAR(K4)</f>
        <v>2010</v>
      </c>
      <c r="M175" s="156"/>
      <c r="N175" t="str">
        <f>IF(K175&gt;5,"31.12.","30.06.")</f>
        <v>31.12.</v>
      </c>
      <c r="O175" s="156"/>
      <c r="P175" s="156"/>
      <c r="Q175" t="str">
        <f>IF(K175&gt;5,"01.01.","01.07.")</f>
        <v>01.01.</v>
      </c>
      <c r="R175" s="156"/>
      <c r="S175" t="str">
        <f>IF(K175&gt;5,"01.01.","01.07.")</f>
        <v>01.01.</v>
      </c>
    </row>
    <row r="176" ht="13.5" thickTop="1"/>
  </sheetData>
  <sheetProtection sheet="1" objects="1" scenarios="1" selectLockedCells="1"/>
  <protectedRanges>
    <protectedRange sqref="D2 C9:Q10 F4 K4 C144:Q145 I5" name="Bereich1"/>
    <protectedRange sqref="H3" name="Bereich1_2"/>
    <protectedRange sqref="N3:O3" name="Bereich1_1"/>
  </protectedRanges>
  <mergeCells count="46">
    <mergeCell ref="I8:K8"/>
    <mergeCell ref="D2:P2"/>
    <mergeCell ref="O9:Q9"/>
    <mergeCell ref="D1:P1"/>
    <mergeCell ref="I5:M5"/>
    <mergeCell ref="F4:H4"/>
    <mergeCell ref="M4:N4"/>
    <mergeCell ref="E3:G3"/>
    <mergeCell ref="O3:P3"/>
    <mergeCell ref="F9:H9"/>
    <mergeCell ref="I9:K9"/>
    <mergeCell ref="AD10:AF10"/>
    <mergeCell ref="L10:N10"/>
    <mergeCell ref="O10:Q10"/>
    <mergeCell ref="I10:K10"/>
    <mergeCell ref="A146:A156"/>
    <mergeCell ref="A11:A22"/>
    <mergeCell ref="C143:E143"/>
    <mergeCell ref="F143:H143"/>
    <mergeCell ref="A143:A145"/>
    <mergeCell ref="C144:E144"/>
    <mergeCell ref="F144:H144"/>
    <mergeCell ref="O144:Q144"/>
    <mergeCell ref="O8:Q8"/>
    <mergeCell ref="L8:N8"/>
    <mergeCell ref="L9:N9"/>
    <mergeCell ref="F8:H8"/>
    <mergeCell ref="A142:Q142"/>
    <mergeCell ref="F145:H145"/>
    <mergeCell ref="L145:N145"/>
    <mergeCell ref="O145:Q145"/>
    <mergeCell ref="I143:K143"/>
    <mergeCell ref="L143:N143"/>
    <mergeCell ref="O143:Q143"/>
    <mergeCell ref="I144:K144"/>
    <mergeCell ref="L144:N144"/>
    <mergeCell ref="C9:E9"/>
    <mergeCell ref="I145:K145"/>
    <mergeCell ref="F10:H10"/>
    <mergeCell ref="A5:H5"/>
    <mergeCell ref="C145:E145"/>
    <mergeCell ref="A8:A10"/>
    <mergeCell ref="A6:Q6"/>
    <mergeCell ref="A7:Q7"/>
    <mergeCell ref="C10:E10"/>
    <mergeCell ref="C8:E8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E8" sqref="E8:H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203" customFormat="1" ht="27" customHeight="1">
      <c r="B1" s="489"/>
      <c r="C1" s="490"/>
      <c r="D1" s="618" t="s">
        <v>129</v>
      </c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6" s="203" customFormat="1" ht="23.25" customHeight="1">
      <c r="A2" s="230"/>
      <c r="B2" s="230"/>
      <c r="C2" s="230"/>
      <c r="D2" s="610" t="str">
        <f>Mannschaften!D2</f>
        <v>Deutsche Meisterschaft der Senioren  Feld   2010</v>
      </c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16" s="203" customFormat="1" ht="15.75" customHeight="1">
      <c r="A3" s="230"/>
      <c r="B3" s="230"/>
      <c r="C3" s="230"/>
      <c r="D3" s="228"/>
      <c r="E3" s="611" t="s">
        <v>157</v>
      </c>
      <c r="F3" s="611"/>
      <c r="G3" s="611"/>
      <c r="H3" s="461" t="str">
        <f>Mannschaften!H3</f>
        <v>M 45</v>
      </c>
      <c r="I3" s="230"/>
      <c r="J3" s="230"/>
      <c r="K3" s="491" t="s">
        <v>130</v>
      </c>
      <c r="L3" s="230"/>
      <c r="M3" s="230"/>
      <c r="N3" s="157" t="str">
        <f>Mannschaften!N3</f>
        <v>31.12.</v>
      </c>
      <c r="O3" s="617">
        <f>Mannschaften!O3</f>
        <v>1965</v>
      </c>
      <c r="P3" s="617"/>
    </row>
    <row r="4" spans="1:16" s="203" customFormat="1" ht="18" customHeight="1">
      <c r="A4" s="230"/>
      <c r="B4" s="230"/>
      <c r="C4" s="230"/>
      <c r="D4" s="230"/>
      <c r="E4" s="230"/>
      <c r="F4" s="613" t="str">
        <f>Mannschaften!F4</f>
        <v>Waghäusel</v>
      </c>
      <c r="G4" s="613"/>
      <c r="H4" s="613"/>
      <c r="I4" s="229"/>
      <c r="J4" s="230"/>
      <c r="K4" s="493">
        <f>Mannschaften!K4</f>
        <v>40425</v>
      </c>
      <c r="L4" s="492" t="s">
        <v>112</v>
      </c>
      <c r="M4" s="620">
        <f>Mannschaften!M4</f>
        <v>40426</v>
      </c>
      <c r="N4" s="620"/>
      <c r="O4" s="230"/>
      <c r="P4" s="230"/>
    </row>
    <row r="5" spans="1:16" s="203" customFormat="1" ht="18" customHeight="1">
      <c r="A5" s="614" t="s">
        <v>121</v>
      </c>
      <c r="B5" s="614"/>
      <c r="C5" s="614"/>
      <c r="D5" s="614"/>
      <c r="E5" s="614"/>
      <c r="F5" s="614"/>
      <c r="G5" s="614"/>
      <c r="H5" s="614"/>
      <c r="I5" s="613" t="str">
        <f>Mannschaften!I5</f>
        <v>TSV Wiesental</v>
      </c>
      <c r="J5" s="613"/>
      <c r="K5" s="613"/>
      <c r="L5" s="613"/>
      <c r="M5" s="613"/>
      <c r="N5" s="230"/>
      <c r="O5" s="230"/>
      <c r="P5" s="230"/>
    </row>
    <row r="6" s="203" customFormat="1" ht="12.75"/>
    <row r="7" s="203" customFormat="1" ht="12.75"/>
    <row r="8" spans="5:14" s="178" customFormat="1" ht="18">
      <c r="E8" s="612" t="s">
        <v>228</v>
      </c>
      <c r="F8" s="612"/>
      <c r="G8" s="612"/>
      <c r="H8" s="612"/>
      <c r="K8" s="612" t="s">
        <v>234</v>
      </c>
      <c r="L8" s="612"/>
      <c r="M8" s="612"/>
      <c r="N8" s="612"/>
    </row>
    <row r="9" s="178" customFormat="1" ht="12.75"/>
    <row r="10" spans="5:11" s="178" customFormat="1" ht="15.75">
      <c r="E10" s="503" t="s">
        <v>268</v>
      </c>
      <c r="K10" s="503" t="s">
        <v>278</v>
      </c>
    </row>
    <row r="11" spans="5:11" s="178" customFormat="1" ht="15.75">
      <c r="E11" s="503" t="s">
        <v>269</v>
      </c>
      <c r="K11" s="503" t="s">
        <v>279</v>
      </c>
    </row>
    <row r="12" spans="5:11" s="178" customFormat="1" ht="15.75">
      <c r="E12" s="503" t="s">
        <v>270</v>
      </c>
      <c r="K12" s="503" t="s">
        <v>280</v>
      </c>
    </row>
    <row r="13" spans="5:11" s="178" customFormat="1" ht="15.75">
      <c r="E13" s="503" t="s">
        <v>271</v>
      </c>
      <c r="K13" s="503" t="s">
        <v>281</v>
      </c>
    </row>
    <row r="14" spans="5:11" s="503" customFormat="1" ht="15.75">
      <c r="E14" s="503" t="s">
        <v>272</v>
      </c>
      <c r="F14" s="178"/>
      <c r="G14" s="178"/>
      <c r="H14" s="178"/>
      <c r="I14" s="178"/>
      <c r="J14" s="178"/>
      <c r="K14" s="503" t="s">
        <v>282</v>
      </c>
    </row>
    <row r="15" spans="5:11" s="178" customFormat="1" ht="15.75">
      <c r="E15" s="526" t="s">
        <v>273</v>
      </c>
      <c r="F15" s="526"/>
      <c r="K15" s="526" t="s">
        <v>349</v>
      </c>
    </row>
    <row r="16" s="178" customFormat="1" ht="12.75"/>
    <row r="17" s="178" customFormat="1" ht="12.75"/>
    <row r="18" s="178" customFormat="1" ht="12.75"/>
    <row r="19" s="178" customFormat="1" ht="18">
      <c r="H19" s="504" t="s">
        <v>274</v>
      </c>
    </row>
    <row r="20" s="178" customFormat="1" ht="12.75"/>
    <row r="21" s="178" customFormat="1" ht="15.75">
      <c r="H21" s="503" t="s">
        <v>275</v>
      </c>
    </row>
    <row r="22" s="178" customFormat="1" ht="15.75">
      <c r="H22" s="503" t="s">
        <v>276</v>
      </c>
    </row>
    <row r="23" s="178" customFormat="1" ht="15.75">
      <c r="H23" s="503" t="s">
        <v>270</v>
      </c>
    </row>
    <row r="24" spans="8:9" s="178" customFormat="1" ht="15.75">
      <c r="H24" s="503" t="s">
        <v>277</v>
      </c>
      <c r="I24" s="505"/>
    </row>
    <row r="25" s="178" customFormat="1" ht="12.75"/>
    <row r="26" s="178" customFormat="1" ht="12.75"/>
    <row r="27" s="178" customFormat="1" ht="12.75"/>
    <row r="28" s="178" customFormat="1" ht="12.75"/>
    <row r="29" s="178" customFormat="1" ht="12.75"/>
  </sheetData>
  <sheetProtection sheet="1" objects="1" scenarios="1" selectLockedCells="1"/>
  <protectedRanges>
    <protectedRange sqref="D2 F4 K4 I5" name="Bereich1_1"/>
    <protectedRange sqref="H3 N3:O3" name="Bereich1_2_1"/>
  </protectedRanges>
  <mergeCells count="10">
    <mergeCell ref="E8:H8"/>
    <mergeCell ref="K8:N8"/>
    <mergeCell ref="F4:H4"/>
    <mergeCell ref="M4:N4"/>
    <mergeCell ref="A5:H5"/>
    <mergeCell ref="I5:M5"/>
    <mergeCell ref="D1:P1"/>
    <mergeCell ref="D2:P2"/>
    <mergeCell ref="E3:G3"/>
    <mergeCell ref="O3:P3"/>
  </mergeCells>
  <hyperlinks>
    <hyperlink ref="E15" r:id="rId1" display="j-zink@t-online.de"/>
    <hyperlink ref="K15" r:id="rId2" display="siegfried.linke@dtb-faustball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97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B1">
      <selection activeCell="Q20" sqref="Q20"/>
    </sheetView>
  </sheetViews>
  <sheetFormatPr defaultColWidth="11.421875" defaultRowHeight="12.75"/>
  <cols>
    <col min="1" max="1" width="5.7109375" style="28" hidden="1" customWidth="1"/>
    <col min="2" max="2" width="4.57421875" style="406" customWidth="1"/>
    <col min="3" max="3" width="7.28125" style="406" bestFit="1" customWidth="1"/>
    <col min="4" max="4" width="7.28125" style="406" customWidth="1"/>
    <col min="5" max="5" width="5.28125" style="53" customWidth="1"/>
    <col min="6" max="6" width="21.7109375" style="406" customWidth="1"/>
    <col min="7" max="7" width="0.85546875" style="406" customWidth="1"/>
    <col min="8" max="8" width="10.8515625" style="406" customWidth="1"/>
    <col min="9" max="9" width="2.7109375" style="406" customWidth="1"/>
    <col min="10" max="10" width="10.28125" style="406" customWidth="1"/>
    <col min="11" max="11" width="4.28125" style="406" customWidth="1"/>
    <col min="12" max="12" width="1.7109375" style="406" customWidth="1"/>
    <col min="13" max="14" width="4.28125" style="406" customWidth="1"/>
    <col min="15" max="15" width="1.7109375" style="406" customWidth="1"/>
    <col min="16" max="17" width="4.28125" style="406" customWidth="1"/>
    <col min="18" max="18" width="1.7109375" style="406" customWidth="1"/>
    <col min="19" max="19" width="4.28125" style="406" customWidth="1"/>
    <col min="20" max="20" width="21.7109375" style="406" customWidth="1"/>
    <col min="21" max="21" width="10.28125" style="406" customWidth="1"/>
    <col min="22" max="22" width="2.7109375" style="28" customWidth="1"/>
    <col min="23" max="23" width="10.28125" style="28" customWidth="1"/>
    <col min="24" max="24" width="25.8515625" style="406" hidden="1" customWidth="1"/>
    <col min="25" max="25" width="11.421875" style="406" hidden="1" customWidth="1"/>
    <col min="26" max="31" width="4.8515625" style="53" hidden="1" customWidth="1"/>
    <col min="32" max="32" width="5.7109375" style="53" customWidth="1"/>
    <col min="33" max="33" width="1.7109375" style="53" customWidth="1"/>
    <col min="34" max="35" width="5.7109375" style="53" customWidth="1"/>
    <col min="36" max="36" width="1.7109375" style="53" customWidth="1"/>
    <col min="37" max="38" width="5.7109375" style="53" customWidth="1"/>
    <col min="39" max="39" width="1.7109375" style="53" customWidth="1"/>
    <col min="40" max="40" width="5.7109375" style="53" customWidth="1"/>
    <col min="41" max="16384" width="11.421875" style="406" customWidth="1"/>
  </cols>
  <sheetData>
    <row r="1" spans="1:40" s="278" customFormat="1" ht="22.5" customHeight="1">
      <c r="A1" s="264"/>
      <c r="E1" s="658" t="s">
        <v>129</v>
      </c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230"/>
      <c r="V1" s="264"/>
      <c r="W1" s="264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s="278" customFormat="1" ht="6.75" customHeight="1">
      <c r="A2" s="264"/>
      <c r="E2" s="279"/>
      <c r="V2" s="264"/>
      <c r="W2" s="264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</row>
    <row r="3" spans="1:40" s="278" customFormat="1" ht="18" customHeight="1">
      <c r="A3" s="264"/>
      <c r="C3" s="230"/>
      <c r="D3" s="230"/>
      <c r="E3" s="460"/>
      <c r="F3" s="613" t="str">
        <f>IF(Mannschaften!D2="","",Mannschaften!D2)</f>
        <v>Deutsche Meisterschaft der Senioren  Feld   2010</v>
      </c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230"/>
      <c r="W3" s="230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2:40" s="230" customFormat="1" ht="17.25" customHeight="1">
      <c r="B4" s="668" t="str">
        <f>IF(Mannschaften!F4="","",Mannschaften!F4)</f>
        <v>Waghäusel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s="278" customFormat="1" ht="16.5" customHeight="1">
      <c r="A5" s="264"/>
      <c r="B5" s="614" t="str">
        <f>Mannschaften!A5</f>
        <v>Ausrichter:     </v>
      </c>
      <c r="C5" s="614"/>
      <c r="D5" s="614"/>
      <c r="E5" s="614"/>
      <c r="F5" s="614"/>
      <c r="G5" s="614"/>
      <c r="H5" s="614"/>
      <c r="I5" s="614"/>
      <c r="J5" s="614"/>
      <c r="K5" s="659" t="str">
        <f>IF(Mannschaften!I5="","",Mannschaften!I5)</f>
        <v>TSV Wiesental</v>
      </c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</row>
    <row r="6" spans="1:40" s="278" customFormat="1" ht="3.75" customHeight="1">
      <c r="A6" s="264"/>
      <c r="B6" s="461"/>
      <c r="C6" s="461"/>
      <c r="D6" s="461"/>
      <c r="E6" s="462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265"/>
      <c r="W6" s="265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s="278" customFormat="1" ht="16.5" customHeight="1">
      <c r="A7" s="264"/>
      <c r="B7" s="476"/>
      <c r="C7" s="281"/>
      <c r="D7" s="281"/>
      <c r="E7" s="463"/>
      <c r="F7" s="281"/>
      <c r="G7" s="281"/>
      <c r="H7" s="669" t="s">
        <v>115</v>
      </c>
      <c r="I7" s="669"/>
      <c r="J7" s="669"/>
      <c r="K7" s="670">
        <f>Mannschaften!K4</f>
        <v>40425</v>
      </c>
      <c r="L7" s="670"/>
      <c r="M7" s="670"/>
      <c r="N7" s="670"/>
      <c r="O7" s="670"/>
      <c r="P7" s="670"/>
      <c r="Q7" s="670"/>
      <c r="R7" s="670"/>
      <c r="S7" s="670"/>
      <c r="T7" s="670"/>
      <c r="U7" s="281"/>
      <c r="V7" s="281"/>
      <c r="W7" s="281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s="278" customFormat="1" ht="6" customHeight="1" thickBot="1">
      <c r="A8" s="264"/>
      <c r="B8" s="476"/>
      <c r="C8" s="476"/>
      <c r="D8" s="476"/>
      <c r="E8" s="477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265"/>
      <c r="W8" s="265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s="278" customFormat="1" ht="15" customHeight="1" thickBot="1">
      <c r="A9" s="264"/>
      <c r="E9" s="279"/>
      <c r="F9" s="671" t="s">
        <v>5</v>
      </c>
      <c r="G9" s="672"/>
      <c r="H9" s="673"/>
      <c r="I9" s="469"/>
      <c r="J9" s="669" t="str">
        <f>Mannschaften!H3</f>
        <v>M 45</v>
      </c>
      <c r="K9" s="669"/>
      <c r="L9" s="669"/>
      <c r="M9" s="669"/>
      <c r="N9" s="669"/>
      <c r="O9" s="669"/>
      <c r="P9" s="669"/>
      <c r="Q9" s="669"/>
      <c r="R9" s="669"/>
      <c r="S9" s="469"/>
      <c r="T9" s="598" t="s">
        <v>6</v>
      </c>
      <c r="U9" s="599"/>
      <c r="V9" s="600"/>
      <c r="W9" s="264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s="278" customFormat="1" ht="15" customHeight="1">
      <c r="A10" s="264"/>
      <c r="E10" s="279"/>
      <c r="F10" s="467" t="str">
        <f>Mannschaften!C10</f>
        <v>ETV  Hamburg</v>
      </c>
      <c r="G10" s="478" t="str">
        <f>IF(Mannschaften!C9="","",Mannschaften!C9)</f>
        <v>1. Nord</v>
      </c>
      <c r="H10" s="479"/>
      <c r="I10" s="677">
        <f>IF('Gruppe A'!AP26=0,"",IF('Gruppe A'!AP26=15,"","Achtung!  Punktgleichheit in Gruppe A"))</f>
      </c>
      <c r="J10" s="678"/>
      <c r="K10" s="678"/>
      <c r="L10" s="678"/>
      <c r="M10" s="678"/>
      <c r="N10" s="678"/>
      <c r="O10" s="678"/>
      <c r="P10" s="678"/>
      <c r="Q10" s="678"/>
      <c r="R10" s="678"/>
      <c r="S10" s="679"/>
      <c r="T10" s="467" t="str">
        <f>Mannschaften!C145</f>
        <v>TV Klarenthal</v>
      </c>
      <c r="U10" s="478" t="str">
        <f>IF(Mannschaften!C144="","",Mannschaften!C144)</f>
        <v>2. West</v>
      </c>
      <c r="V10" s="268"/>
      <c r="W10" s="264"/>
      <c r="X10" s="264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s="278" customFormat="1" ht="15" customHeight="1">
      <c r="A11" s="264"/>
      <c r="C11" s="480"/>
      <c r="E11" s="279"/>
      <c r="F11" s="470" t="str">
        <f>Mannschaften!F10</f>
        <v>TV GH Brettorf</v>
      </c>
      <c r="G11" s="481" t="str">
        <f>IF(Mannschaften!F9="","",Mannschaften!F9)</f>
        <v>3. Nord</v>
      </c>
      <c r="H11" s="482"/>
      <c r="I11" s="677">
        <f>IF('Gruppe A'!AP26=0,"",IF('Gruppe A'!AP26=15,"","Bitte Platzierung selbst ermitteln"))</f>
      </c>
      <c r="J11" s="678"/>
      <c r="K11" s="678"/>
      <c r="L11" s="678"/>
      <c r="M11" s="678"/>
      <c r="N11" s="678"/>
      <c r="O11" s="678"/>
      <c r="P11" s="678"/>
      <c r="Q11" s="678"/>
      <c r="R11" s="678"/>
      <c r="S11" s="679"/>
      <c r="T11" s="470" t="str">
        <f>Mannschaften!F145</f>
        <v>TV Wünschmichelbach</v>
      </c>
      <c r="U11" s="481" t="str">
        <f>IF(Mannschaften!F144="","",Mannschaften!F144)</f>
        <v>Ausrichter/LM</v>
      </c>
      <c r="V11" s="269"/>
      <c r="W11" s="264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s="278" customFormat="1" ht="15" customHeight="1">
      <c r="A12" s="264"/>
      <c r="E12" s="279"/>
      <c r="F12" s="470" t="str">
        <f>Mannschaften!I10</f>
        <v>TV Dinglingen</v>
      </c>
      <c r="G12" s="481" t="str">
        <f>IF(Mannschaften!I9="","",Mannschaften!I9)</f>
        <v>1. West</v>
      </c>
      <c r="H12" s="482"/>
      <c r="I12" s="674" t="s">
        <v>335</v>
      </c>
      <c r="J12" s="675"/>
      <c r="K12" s="675"/>
      <c r="L12" s="675"/>
      <c r="M12" s="675"/>
      <c r="N12" s="675"/>
      <c r="O12" s="675"/>
      <c r="P12" s="675"/>
      <c r="Q12" s="675"/>
      <c r="R12" s="675"/>
      <c r="S12" s="676"/>
      <c r="T12" s="470" t="str">
        <f>Mannschaften!I145</f>
        <v>TSV Bayer Leverkusen</v>
      </c>
      <c r="U12" s="481" t="str">
        <f>IF(Mannschaften!I144="","",Mannschaften!I144)</f>
        <v>2. Nord</v>
      </c>
      <c r="V12" s="269"/>
      <c r="W12" s="264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s="278" customFormat="1" ht="15" customHeight="1">
      <c r="A13" s="264"/>
      <c r="E13" s="279"/>
      <c r="F13" s="470" t="str">
        <f>Mannschaften!L10</f>
        <v>TV Segnitz</v>
      </c>
      <c r="G13" s="481" t="str">
        <f>IF(Mannschaften!L9="","",Mannschaften!L9)</f>
        <v>2. Süd</v>
      </c>
      <c r="H13" s="482"/>
      <c r="I13" s="677">
        <f>IF('Gruppe B'!AP26=0,"",IF('Gruppe B'!AP26=15,"","Achtung!  Punktgleichheit in Gruppe B"))</f>
      </c>
      <c r="J13" s="678"/>
      <c r="K13" s="678"/>
      <c r="L13" s="678"/>
      <c r="M13" s="678"/>
      <c r="N13" s="678"/>
      <c r="O13" s="678"/>
      <c r="P13" s="678"/>
      <c r="Q13" s="678"/>
      <c r="R13" s="678"/>
      <c r="S13" s="679"/>
      <c r="T13" s="470" t="str">
        <f>Mannschaften!L145</f>
        <v>VfB Stuttgart</v>
      </c>
      <c r="U13" s="481" t="str">
        <f>IF(Mannschaften!L144="","",Mannschaften!L144)</f>
        <v>1. Süd</v>
      </c>
      <c r="V13" s="269"/>
      <c r="W13" s="264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s="278" customFormat="1" ht="15" customHeight="1" thickBot="1">
      <c r="A14" s="264"/>
      <c r="E14" s="279"/>
      <c r="F14" s="471" t="str">
        <f>Mannschaften!O10</f>
        <v>MSV Buna Schkopau</v>
      </c>
      <c r="G14" s="483" t="str">
        <f>IF(Mannschaften!O9="","",Mannschaften!O9)</f>
        <v>2. Ost</v>
      </c>
      <c r="H14" s="484"/>
      <c r="I14" s="677">
        <f>IF('Gruppe B'!AP26=0,"",IF('Gruppe B'!AP26=15,"","Bitte Platzierung selbst ermitteln"))</f>
      </c>
      <c r="J14" s="678"/>
      <c r="K14" s="678"/>
      <c r="L14" s="678"/>
      <c r="M14" s="678"/>
      <c r="N14" s="678"/>
      <c r="O14" s="678"/>
      <c r="P14" s="678"/>
      <c r="Q14" s="678"/>
      <c r="R14" s="678"/>
      <c r="S14" s="679"/>
      <c r="T14" s="471" t="str">
        <f>Mannschaften!O145</f>
        <v>SG Stern Kaulsdorf</v>
      </c>
      <c r="U14" s="483" t="str">
        <f>IF(Mannschaften!O144="","",Mannschaften!O144)</f>
        <v>1. Ost</v>
      </c>
      <c r="V14" s="271"/>
      <c r="W14" s="264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s="278" customFormat="1" ht="12.75" customHeight="1" hidden="1" thickBot="1">
      <c r="A15" s="264"/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s="525" customFormat="1" ht="18" customHeight="1" hidden="1" thickBot="1">
      <c r="A16" s="546"/>
      <c r="B16" s="547">
        <v>2</v>
      </c>
      <c r="C16" s="547">
        <v>3</v>
      </c>
      <c r="D16" s="547">
        <v>4</v>
      </c>
      <c r="E16" s="547">
        <v>5</v>
      </c>
      <c r="F16" s="547">
        <v>6</v>
      </c>
      <c r="G16" s="547">
        <v>7</v>
      </c>
      <c r="H16" s="547">
        <v>8</v>
      </c>
      <c r="I16" s="547">
        <v>9</v>
      </c>
      <c r="J16" s="547">
        <v>10</v>
      </c>
      <c r="K16" s="547">
        <v>11</v>
      </c>
      <c r="L16" s="547"/>
      <c r="M16" s="547">
        <v>13</v>
      </c>
      <c r="N16" s="547">
        <v>14</v>
      </c>
      <c r="O16" s="547"/>
      <c r="P16" s="547">
        <v>16</v>
      </c>
      <c r="Q16" s="547">
        <v>17</v>
      </c>
      <c r="R16" s="547"/>
      <c r="S16" s="547">
        <v>19</v>
      </c>
      <c r="T16" s="547">
        <v>20</v>
      </c>
      <c r="U16" s="547">
        <v>21</v>
      </c>
      <c r="V16" s="547">
        <v>22</v>
      </c>
      <c r="W16" s="547">
        <v>23</v>
      </c>
      <c r="X16" s="547">
        <v>24</v>
      </c>
      <c r="Y16" s="547">
        <v>25</v>
      </c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</row>
    <row r="17" spans="1:40" s="278" customFormat="1" ht="17.25" customHeight="1" thickBot="1">
      <c r="A17" s="264"/>
      <c r="B17" s="593" t="s">
        <v>0</v>
      </c>
      <c r="C17" s="593" t="s">
        <v>1</v>
      </c>
      <c r="D17" s="593" t="s">
        <v>147</v>
      </c>
      <c r="E17" s="666" t="s">
        <v>145</v>
      </c>
      <c r="F17" s="660" t="s">
        <v>2</v>
      </c>
      <c r="G17" s="604" t="s">
        <v>7</v>
      </c>
      <c r="H17" s="604" t="s">
        <v>3</v>
      </c>
      <c r="I17" s="604"/>
      <c r="J17" s="661"/>
      <c r="K17" s="598" t="s">
        <v>8</v>
      </c>
      <c r="L17" s="599"/>
      <c r="M17" s="599"/>
      <c r="N17" s="599"/>
      <c r="O17" s="599"/>
      <c r="P17" s="599"/>
      <c r="Q17" s="599"/>
      <c r="R17" s="599"/>
      <c r="S17" s="600"/>
      <c r="T17" s="473" t="s">
        <v>150</v>
      </c>
      <c r="U17" s="660" t="s">
        <v>78</v>
      </c>
      <c r="V17" s="604"/>
      <c r="W17" s="661"/>
      <c r="X17" s="528"/>
      <c r="Y17" s="528"/>
      <c r="Z17" s="606" t="s">
        <v>162</v>
      </c>
      <c r="AA17" s="606" t="s">
        <v>163</v>
      </c>
      <c r="AB17" s="606" t="s">
        <v>164</v>
      </c>
      <c r="AC17" s="606" t="s">
        <v>165</v>
      </c>
      <c r="AD17" s="606" t="s">
        <v>166</v>
      </c>
      <c r="AE17" s="606" t="s">
        <v>167</v>
      </c>
      <c r="AF17" s="615" t="s">
        <v>36</v>
      </c>
      <c r="AG17" s="607"/>
      <c r="AH17" s="608"/>
      <c r="AI17" s="615" t="s">
        <v>140</v>
      </c>
      <c r="AJ17" s="607"/>
      <c r="AK17" s="608"/>
      <c r="AL17" s="615" t="s">
        <v>35</v>
      </c>
      <c r="AM17" s="607"/>
      <c r="AN17" s="608"/>
    </row>
    <row r="18" spans="1:40" s="278" customFormat="1" ht="17.25" customHeight="1" thickBot="1">
      <c r="A18" s="264"/>
      <c r="B18" s="594"/>
      <c r="C18" s="594"/>
      <c r="D18" s="594"/>
      <c r="E18" s="667"/>
      <c r="F18" s="662"/>
      <c r="G18" s="605"/>
      <c r="H18" s="605"/>
      <c r="I18" s="605"/>
      <c r="J18" s="663"/>
      <c r="K18" s="598" t="s">
        <v>146</v>
      </c>
      <c r="L18" s="599"/>
      <c r="M18" s="600"/>
      <c r="N18" s="598" t="s">
        <v>138</v>
      </c>
      <c r="O18" s="599"/>
      <c r="P18" s="600"/>
      <c r="Q18" s="598" t="s">
        <v>139</v>
      </c>
      <c r="R18" s="599"/>
      <c r="S18" s="600"/>
      <c r="T18" s="475" t="s">
        <v>4</v>
      </c>
      <c r="U18" s="662"/>
      <c r="V18" s="605"/>
      <c r="W18" s="663"/>
      <c r="X18" s="529"/>
      <c r="Y18" s="529"/>
      <c r="Z18" s="597"/>
      <c r="AA18" s="597"/>
      <c r="AB18" s="597"/>
      <c r="AC18" s="597"/>
      <c r="AD18" s="597"/>
      <c r="AE18" s="597"/>
      <c r="AF18" s="609"/>
      <c r="AG18" s="602"/>
      <c r="AH18" s="603"/>
      <c r="AI18" s="609"/>
      <c r="AJ18" s="602"/>
      <c r="AK18" s="603"/>
      <c r="AL18" s="609"/>
      <c r="AM18" s="602"/>
      <c r="AN18" s="603"/>
    </row>
    <row r="19" spans="1:40" s="278" customFormat="1" ht="17.25" customHeight="1" thickBot="1">
      <c r="A19" s="264"/>
      <c r="B19" s="524"/>
      <c r="C19" s="527">
        <v>0.4166666666666667</v>
      </c>
      <c r="D19" s="655" t="s">
        <v>217</v>
      </c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7"/>
      <c r="Z19" s="487"/>
      <c r="AA19" s="487"/>
      <c r="AB19" s="487"/>
      <c r="AC19" s="487"/>
      <c r="AD19" s="487"/>
      <c r="AE19" s="487"/>
      <c r="AF19" s="521"/>
      <c r="AG19" s="522"/>
      <c r="AH19" s="523"/>
      <c r="AI19" s="521"/>
      <c r="AJ19" s="522"/>
      <c r="AK19" s="523"/>
      <c r="AL19" s="521"/>
      <c r="AM19" s="522"/>
      <c r="AN19" s="523"/>
    </row>
    <row r="20" spans="1:43" s="278" customFormat="1" ht="17.25" customHeight="1">
      <c r="A20" s="264">
        <f>D20</f>
        <v>1</v>
      </c>
      <c r="B20" s="388">
        <v>1</v>
      </c>
      <c r="C20" s="494">
        <v>0.4375</v>
      </c>
      <c r="D20" s="389">
        <v>1</v>
      </c>
      <c r="E20" s="485">
        <v>5</v>
      </c>
      <c r="F20" s="390" t="str">
        <f>F10</f>
        <v>ETV  Hamburg</v>
      </c>
      <c r="G20" s="153" t="s">
        <v>7</v>
      </c>
      <c r="H20" s="595" t="str">
        <f>F11</f>
        <v>TV GH Brettorf</v>
      </c>
      <c r="I20" s="596"/>
      <c r="J20" s="596"/>
      <c r="K20" s="495">
        <v>11</v>
      </c>
      <c r="L20" s="153" t="s">
        <v>7</v>
      </c>
      <c r="M20" s="497">
        <v>6</v>
      </c>
      <c r="N20" s="495">
        <v>11</v>
      </c>
      <c r="O20" s="153" t="s">
        <v>7</v>
      </c>
      <c r="P20" s="497">
        <v>8</v>
      </c>
      <c r="Q20" s="495"/>
      <c r="R20" s="153" t="s">
        <v>7</v>
      </c>
      <c r="S20" s="497"/>
      <c r="T20" s="391" t="str">
        <f>F14</f>
        <v>MSV Buna Schkopau</v>
      </c>
      <c r="U20" s="601" t="str">
        <f>'[2]Gesamtplan Sa'!$E$34</f>
        <v>R. Schlotter</v>
      </c>
      <c r="V20" s="601"/>
      <c r="W20" s="601"/>
      <c r="X20" s="392" t="str">
        <f aca="true" t="shared" si="0" ref="X20:X39">IF(F20=$F$10,$X$51,IF(F20=$F$11,$X$51,IF(F20=$F$12,$X$51,IF(F20=$F$13,$X$51,IF(F20=$F$14,$X$51,$X$52)))))</f>
        <v>Vorrunde Gruppe A</v>
      </c>
      <c r="Y20" s="393">
        <f>$K$7</f>
        <v>40425</v>
      </c>
      <c r="Z20" s="394">
        <f>IF(M20="","",IF(K20&gt;M20,1,0))</f>
        <v>1</v>
      </c>
      <c r="AA20" s="394">
        <f>IF(P20="","",IF(N20&gt;P20,1,0))</f>
        <v>1</v>
      </c>
      <c r="AB20" s="394">
        <f>IF(S20="","",IF(Q20&gt;S20,1,0))</f>
      </c>
      <c r="AC20" s="394">
        <f>IF(Z20="","",IF(Z20=0,1,0))</f>
        <v>0</v>
      </c>
      <c r="AD20" s="394">
        <f>IF(AA20="","",IF(AA20=0,1,0))</f>
        <v>0</v>
      </c>
      <c r="AE20" s="394">
        <f>IF(AB20="","",IF(AB20=0,1,0))</f>
      </c>
      <c r="AF20" s="272">
        <f>IF(P20="",0,IF(Q20=0,K20+N20,K20+N20+Q20))</f>
        <v>22</v>
      </c>
      <c r="AG20" s="273" t="s">
        <v>7</v>
      </c>
      <c r="AH20" s="274">
        <f>IF(P20="",0,IF(S20="",M20+P20,M20+P20+S20))</f>
        <v>14</v>
      </c>
      <c r="AI20" s="272">
        <f>IF(AA20="",0,IF(AB20="",Z20+AA20,Z20+AA20+AB20))</f>
        <v>2</v>
      </c>
      <c r="AJ20" s="273" t="s">
        <v>7</v>
      </c>
      <c r="AK20" s="274">
        <f>IF(AA20="",0,IF(AE20="",AC20+AD20,AC20+AD20+AE20))</f>
        <v>0</v>
      </c>
      <c r="AL20" s="272">
        <f>IF(AI20=2,2,0)</f>
        <v>2</v>
      </c>
      <c r="AM20" s="273" t="s">
        <v>7</v>
      </c>
      <c r="AN20" s="274">
        <f>IF(AK20=2,2,0)</f>
        <v>0</v>
      </c>
      <c r="AO20" s="395"/>
      <c r="AP20" s="395"/>
      <c r="AQ20" s="264"/>
    </row>
    <row r="21" spans="1:42" s="278" customFormat="1" ht="17.25" customHeight="1" thickBot="1">
      <c r="A21" s="264">
        <f aca="true" t="shared" si="1" ref="A21:A50">D21</f>
        <v>2</v>
      </c>
      <c r="B21" s="551">
        <f>B20</f>
        <v>1</v>
      </c>
      <c r="C21" s="549">
        <f>C20</f>
        <v>0.4375</v>
      </c>
      <c r="D21" s="397">
        <v>2</v>
      </c>
      <c r="E21" s="486">
        <v>6</v>
      </c>
      <c r="F21" s="398" t="str">
        <f>F12</f>
        <v>TV Dinglingen</v>
      </c>
      <c r="G21" s="154" t="s">
        <v>7</v>
      </c>
      <c r="H21" s="653" t="str">
        <f>F13</f>
        <v>TV Segnitz</v>
      </c>
      <c r="I21" s="654"/>
      <c r="J21" s="654"/>
      <c r="K21" s="496">
        <v>6</v>
      </c>
      <c r="L21" s="154" t="s">
        <v>7</v>
      </c>
      <c r="M21" s="498">
        <v>11</v>
      </c>
      <c r="N21" s="496">
        <v>11</v>
      </c>
      <c r="O21" s="154" t="s">
        <v>7</v>
      </c>
      <c r="P21" s="498">
        <v>9</v>
      </c>
      <c r="Q21" s="496">
        <v>5</v>
      </c>
      <c r="R21" s="154" t="s">
        <v>7</v>
      </c>
      <c r="S21" s="498">
        <v>11</v>
      </c>
      <c r="T21" s="399" t="str">
        <f>F14</f>
        <v>MSV Buna Schkopau</v>
      </c>
      <c r="U21" s="665" t="str">
        <f>'[2]Gesamtplan Sa'!$H$34</f>
        <v>St. Schiep</v>
      </c>
      <c r="V21" s="665"/>
      <c r="W21" s="665"/>
      <c r="X21" s="400" t="str">
        <f t="shared" si="0"/>
        <v>Vorrunde Gruppe A</v>
      </c>
      <c r="Y21" s="401">
        <f aca="true" t="shared" si="2" ref="Y21:Y29">$K$7</f>
        <v>40425</v>
      </c>
      <c r="Z21" s="402">
        <f aca="true" t="shared" si="3" ref="Z21:Z39">IF(M21="","",IF(K21&gt;M21,1,0))</f>
        <v>0</v>
      </c>
      <c r="AA21" s="402">
        <f aca="true" t="shared" si="4" ref="AA21:AA39">IF(P21="","",IF(N21&gt;P21,1,0))</f>
        <v>1</v>
      </c>
      <c r="AB21" s="402">
        <f aca="true" t="shared" si="5" ref="AB21:AB39">IF(S21="","",IF(Q21&gt;S21,1,0))</f>
        <v>0</v>
      </c>
      <c r="AC21" s="402">
        <f aca="true" t="shared" si="6" ref="AC21:AC39">IF(Z21="","",IF(Z21=0,1,0))</f>
        <v>1</v>
      </c>
      <c r="AD21" s="402">
        <f aca="true" t="shared" si="7" ref="AD21:AD39">IF(AA21="","",IF(AA21=0,1,0))</f>
        <v>0</v>
      </c>
      <c r="AE21" s="402">
        <f aca="true" t="shared" si="8" ref="AE21:AE39">IF(AB21="","",IF(AB21=0,1,0))</f>
        <v>1</v>
      </c>
      <c r="AF21" s="275">
        <f aca="true" t="shared" si="9" ref="AF21:AF39">IF(P21="",0,IF(Q21=0,K21+N21,K21+N21+Q21))</f>
        <v>22</v>
      </c>
      <c r="AG21" s="276" t="s">
        <v>7</v>
      </c>
      <c r="AH21" s="277">
        <f aca="true" t="shared" si="10" ref="AH21:AH39">IF(P21="",0,IF(S21="",M21+P21,M21+P21+S21))</f>
        <v>31</v>
      </c>
      <c r="AI21" s="275">
        <f aca="true" t="shared" si="11" ref="AI21:AI39">IF(AA21="",0,IF(AB21="",Z21+AA21,Z21+AA21+AB21))</f>
        <v>1</v>
      </c>
      <c r="AJ21" s="276" t="s">
        <v>7</v>
      </c>
      <c r="AK21" s="277">
        <f aca="true" t="shared" si="12" ref="AK21:AK39">IF(AA21="",0,IF(AE21="",AC21+AD21,AC21+AD21+AE21))</f>
        <v>2</v>
      </c>
      <c r="AL21" s="275">
        <f aca="true" t="shared" si="13" ref="AL21:AL39">IF(AI21=2,2,0)</f>
        <v>0</v>
      </c>
      <c r="AM21" s="276" t="s">
        <v>7</v>
      </c>
      <c r="AN21" s="277">
        <f aca="true" t="shared" si="14" ref="AN21:AN39">IF(AK21=2,2,0)</f>
        <v>2</v>
      </c>
      <c r="AO21" s="395"/>
      <c r="AP21" s="395"/>
    </row>
    <row r="22" spans="1:43" s="278" customFormat="1" ht="17.25" customHeight="1">
      <c r="A22" s="543">
        <f t="shared" si="1"/>
        <v>3</v>
      </c>
      <c r="B22" s="388">
        <v>2</v>
      </c>
      <c r="C22" s="573">
        <v>0.46527777777777773</v>
      </c>
      <c r="D22" s="389">
        <v>3</v>
      </c>
      <c r="E22" s="485">
        <v>5</v>
      </c>
      <c r="F22" s="390" t="str">
        <f>T10</f>
        <v>TV Klarenthal</v>
      </c>
      <c r="G22" s="153" t="s">
        <v>7</v>
      </c>
      <c r="H22" s="595" t="str">
        <f>T11</f>
        <v>TV Wünschmichelbach</v>
      </c>
      <c r="I22" s="596"/>
      <c r="J22" s="596"/>
      <c r="K22" s="495">
        <v>11</v>
      </c>
      <c r="L22" s="153" t="s">
        <v>7</v>
      </c>
      <c r="M22" s="497">
        <v>7</v>
      </c>
      <c r="N22" s="495">
        <v>11</v>
      </c>
      <c r="O22" s="153" t="s">
        <v>7</v>
      </c>
      <c r="P22" s="497">
        <v>8</v>
      </c>
      <c r="Q22" s="495"/>
      <c r="R22" s="153" t="s">
        <v>7</v>
      </c>
      <c r="S22" s="497"/>
      <c r="T22" s="391" t="str">
        <f>T14</f>
        <v>SG Stern Kaulsdorf</v>
      </c>
      <c r="U22" s="601" t="str">
        <f>'[2]Gesamtplan Sa'!$E$35</f>
        <v>St. Lutz</v>
      </c>
      <c r="V22" s="601"/>
      <c r="W22" s="601"/>
      <c r="X22" s="392" t="str">
        <f t="shared" si="0"/>
        <v>Vorrunde Gruppe B</v>
      </c>
      <c r="Y22" s="393">
        <f t="shared" si="2"/>
        <v>40425</v>
      </c>
      <c r="Z22" s="394">
        <f t="shared" si="3"/>
        <v>1</v>
      </c>
      <c r="AA22" s="394">
        <f t="shared" si="4"/>
        <v>1</v>
      </c>
      <c r="AB22" s="394">
        <f t="shared" si="5"/>
      </c>
      <c r="AC22" s="394">
        <f t="shared" si="6"/>
        <v>0</v>
      </c>
      <c r="AD22" s="394">
        <f t="shared" si="7"/>
        <v>0</v>
      </c>
      <c r="AE22" s="394">
        <f t="shared" si="8"/>
      </c>
      <c r="AF22" s="272">
        <f t="shared" si="9"/>
        <v>22</v>
      </c>
      <c r="AG22" s="273" t="s">
        <v>7</v>
      </c>
      <c r="AH22" s="274">
        <f t="shared" si="10"/>
        <v>15</v>
      </c>
      <c r="AI22" s="272">
        <f t="shared" si="11"/>
        <v>2</v>
      </c>
      <c r="AJ22" s="273" t="s">
        <v>7</v>
      </c>
      <c r="AK22" s="274">
        <f t="shared" si="12"/>
        <v>0</v>
      </c>
      <c r="AL22" s="272">
        <f t="shared" si="13"/>
        <v>2</v>
      </c>
      <c r="AM22" s="273" t="s">
        <v>7</v>
      </c>
      <c r="AN22" s="274">
        <f t="shared" si="14"/>
        <v>0</v>
      </c>
      <c r="AO22" s="395"/>
      <c r="AP22"/>
      <c r="AQ22" s="395"/>
    </row>
    <row r="23" spans="1:43" s="278" customFormat="1" ht="17.25" customHeight="1" thickBot="1">
      <c r="A23" s="545">
        <f t="shared" si="1"/>
        <v>4</v>
      </c>
      <c r="B23" s="551">
        <f>B22</f>
        <v>2</v>
      </c>
      <c r="C23" s="549">
        <f>C22</f>
        <v>0.46527777777777773</v>
      </c>
      <c r="D23" s="397">
        <v>4</v>
      </c>
      <c r="E23" s="486">
        <v>6</v>
      </c>
      <c r="F23" s="398" t="str">
        <f>T12</f>
        <v>TSV Bayer Leverkusen</v>
      </c>
      <c r="G23" s="154" t="s">
        <v>7</v>
      </c>
      <c r="H23" s="653" t="str">
        <f>T13</f>
        <v>VfB Stuttgart</v>
      </c>
      <c r="I23" s="654"/>
      <c r="J23" s="654"/>
      <c r="K23" s="496">
        <v>7</v>
      </c>
      <c r="L23" s="154" t="s">
        <v>7</v>
      </c>
      <c r="M23" s="498">
        <v>11</v>
      </c>
      <c r="N23" s="496">
        <v>11</v>
      </c>
      <c r="O23" s="154" t="s">
        <v>7</v>
      </c>
      <c r="P23" s="498">
        <v>9</v>
      </c>
      <c r="Q23" s="496">
        <v>12</v>
      </c>
      <c r="R23" s="154" t="s">
        <v>7</v>
      </c>
      <c r="S23" s="498">
        <v>10</v>
      </c>
      <c r="T23" s="399" t="str">
        <f>T14</f>
        <v>SG Stern Kaulsdorf</v>
      </c>
      <c r="U23" s="665" t="str">
        <f>'[2]Gesamtplan Sa'!$H$35</f>
        <v>R. Happersberger</v>
      </c>
      <c r="V23" s="665"/>
      <c r="W23" s="665"/>
      <c r="X23" s="400" t="str">
        <f t="shared" si="0"/>
        <v>Vorrunde Gruppe B</v>
      </c>
      <c r="Y23" s="401">
        <f t="shared" si="2"/>
        <v>40425</v>
      </c>
      <c r="Z23" s="402">
        <f t="shared" si="3"/>
        <v>0</v>
      </c>
      <c r="AA23" s="402">
        <f t="shared" si="4"/>
        <v>1</v>
      </c>
      <c r="AB23" s="402">
        <f t="shared" si="5"/>
        <v>1</v>
      </c>
      <c r="AC23" s="402">
        <f t="shared" si="6"/>
        <v>1</v>
      </c>
      <c r="AD23" s="402">
        <f t="shared" si="7"/>
        <v>0</v>
      </c>
      <c r="AE23" s="402">
        <f t="shared" si="8"/>
        <v>0</v>
      </c>
      <c r="AF23" s="275">
        <f t="shared" si="9"/>
        <v>30</v>
      </c>
      <c r="AG23" s="276" t="s">
        <v>7</v>
      </c>
      <c r="AH23" s="277">
        <f t="shared" si="10"/>
        <v>30</v>
      </c>
      <c r="AI23" s="275">
        <f t="shared" si="11"/>
        <v>2</v>
      </c>
      <c r="AJ23" s="276" t="s">
        <v>7</v>
      </c>
      <c r="AK23" s="277">
        <f t="shared" si="12"/>
        <v>1</v>
      </c>
      <c r="AL23" s="275">
        <f t="shared" si="13"/>
        <v>2</v>
      </c>
      <c r="AM23" s="276" t="s">
        <v>7</v>
      </c>
      <c r="AN23" s="277">
        <f t="shared" si="14"/>
        <v>0</v>
      </c>
      <c r="AO23" s="396"/>
      <c r="AQ23" s="230"/>
    </row>
    <row r="24" spans="1:40" s="278" customFormat="1" ht="17.25" customHeight="1" thickBot="1">
      <c r="A24" s="264">
        <f t="shared" si="1"/>
        <v>5</v>
      </c>
      <c r="B24" s="388">
        <v>3</v>
      </c>
      <c r="C24" s="573">
        <v>0.4930555555555556</v>
      </c>
      <c r="D24" s="389">
        <v>5</v>
      </c>
      <c r="E24" s="485">
        <v>5</v>
      </c>
      <c r="F24" s="390" t="str">
        <f>F10</f>
        <v>ETV  Hamburg</v>
      </c>
      <c r="G24" s="153" t="s">
        <v>7</v>
      </c>
      <c r="H24" s="595" t="str">
        <f>F14</f>
        <v>MSV Buna Schkopau</v>
      </c>
      <c r="I24" s="596"/>
      <c r="J24" s="596"/>
      <c r="K24" s="495">
        <v>11</v>
      </c>
      <c r="L24" s="153" t="s">
        <v>7</v>
      </c>
      <c r="M24" s="497">
        <v>5</v>
      </c>
      <c r="N24" s="495">
        <v>11</v>
      </c>
      <c r="O24" s="153" t="s">
        <v>7</v>
      </c>
      <c r="P24" s="497">
        <v>5</v>
      </c>
      <c r="Q24" s="495"/>
      <c r="R24" s="153" t="s">
        <v>7</v>
      </c>
      <c r="S24" s="497"/>
      <c r="T24" s="391" t="str">
        <f>F13</f>
        <v>TV Segnitz</v>
      </c>
      <c r="U24" s="601" t="str">
        <f>'[2]Gesamtplan Sa'!$E$36</f>
        <v>T. Ohlrich</v>
      </c>
      <c r="V24" s="601"/>
      <c r="W24" s="601"/>
      <c r="X24" s="392" t="str">
        <f t="shared" si="0"/>
        <v>Vorrunde Gruppe A</v>
      </c>
      <c r="Y24" s="393">
        <f t="shared" si="2"/>
        <v>40425</v>
      </c>
      <c r="Z24" s="394">
        <f t="shared" si="3"/>
        <v>1</v>
      </c>
      <c r="AA24" s="394">
        <f t="shared" si="4"/>
        <v>1</v>
      </c>
      <c r="AB24" s="394">
        <f t="shared" si="5"/>
      </c>
      <c r="AC24" s="394">
        <f t="shared" si="6"/>
        <v>0</v>
      </c>
      <c r="AD24" s="394">
        <f t="shared" si="7"/>
        <v>0</v>
      </c>
      <c r="AE24" s="394">
        <f t="shared" si="8"/>
      </c>
      <c r="AF24" s="272">
        <f t="shared" si="9"/>
        <v>22</v>
      </c>
      <c r="AG24" s="273" t="s">
        <v>7</v>
      </c>
      <c r="AH24" s="274">
        <f t="shared" si="10"/>
        <v>10</v>
      </c>
      <c r="AI24" s="272">
        <f t="shared" si="11"/>
        <v>2</v>
      </c>
      <c r="AJ24" s="273" t="s">
        <v>7</v>
      </c>
      <c r="AK24" s="274">
        <f t="shared" si="12"/>
        <v>0</v>
      </c>
      <c r="AL24" s="272">
        <f t="shared" si="13"/>
        <v>2</v>
      </c>
      <c r="AM24" s="273" t="s">
        <v>7</v>
      </c>
      <c r="AN24" s="274">
        <f t="shared" si="14"/>
        <v>0</v>
      </c>
    </row>
    <row r="25" spans="1:40" s="278" customFormat="1" ht="17.25" customHeight="1" thickBot="1">
      <c r="A25" s="543">
        <f t="shared" si="1"/>
        <v>6</v>
      </c>
      <c r="B25" s="551">
        <f>B24</f>
        <v>3</v>
      </c>
      <c r="C25" s="549">
        <f>C24</f>
        <v>0.4930555555555556</v>
      </c>
      <c r="D25" s="397">
        <v>6</v>
      </c>
      <c r="E25" s="486">
        <v>6</v>
      </c>
      <c r="F25" s="398" t="str">
        <f>F11</f>
        <v>TV GH Brettorf</v>
      </c>
      <c r="G25" s="154" t="s">
        <v>7</v>
      </c>
      <c r="H25" s="653" t="str">
        <f>F12</f>
        <v>TV Dinglingen</v>
      </c>
      <c r="I25" s="654"/>
      <c r="J25" s="654"/>
      <c r="K25" s="496">
        <v>9</v>
      </c>
      <c r="L25" s="154" t="s">
        <v>7</v>
      </c>
      <c r="M25" s="498">
        <v>11</v>
      </c>
      <c r="N25" s="496">
        <v>11</v>
      </c>
      <c r="O25" s="154" t="s">
        <v>7</v>
      </c>
      <c r="P25" s="498">
        <v>8</v>
      </c>
      <c r="Q25" s="496">
        <v>4</v>
      </c>
      <c r="R25" s="154" t="s">
        <v>7</v>
      </c>
      <c r="S25" s="498">
        <v>11</v>
      </c>
      <c r="T25" s="399" t="str">
        <f>F13</f>
        <v>TV Segnitz</v>
      </c>
      <c r="U25" s="665" t="str">
        <f>'[2]Gesamtplan Sa'!$H$36</f>
        <v>H. Appel</v>
      </c>
      <c r="V25" s="665"/>
      <c r="W25" s="665"/>
      <c r="X25" s="400" t="str">
        <f t="shared" si="0"/>
        <v>Vorrunde Gruppe A</v>
      </c>
      <c r="Y25" s="401">
        <f t="shared" si="2"/>
        <v>40425</v>
      </c>
      <c r="Z25" s="402">
        <f t="shared" si="3"/>
        <v>0</v>
      </c>
      <c r="AA25" s="402">
        <f t="shared" si="4"/>
        <v>1</v>
      </c>
      <c r="AB25" s="402">
        <f t="shared" si="5"/>
        <v>0</v>
      </c>
      <c r="AC25" s="402">
        <f t="shared" si="6"/>
        <v>1</v>
      </c>
      <c r="AD25" s="402">
        <f t="shared" si="7"/>
        <v>0</v>
      </c>
      <c r="AE25" s="402">
        <f t="shared" si="8"/>
        <v>1</v>
      </c>
      <c r="AF25" s="275">
        <f t="shared" si="9"/>
        <v>24</v>
      </c>
      <c r="AG25" s="276" t="s">
        <v>7</v>
      </c>
      <c r="AH25" s="277">
        <f t="shared" si="10"/>
        <v>30</v>
      </c>
      <c r="AI25" s="275">
        <f t="shared" si="11"/>
        <v>1</v>
      </c>
      <c r="AJ25" s="276" t="s">
        <v>7</v>
      </c>
      <c r="AK25" s="277">
        <f t="shared" si="12"/>
        <v>2</v>
      </c>
      <c r="AL25" s="275">
        <f t="shared" si="13"/>
        <v>0</v>
      </c>
      <c r="AM25" s="276" t="s">
        <v>7</v>
      </c>
      <c r="AN25" s="277">
        <f t="shared" si="14"/>
        <v>2</v>
      </c>
    </row>
    <row r="26" spans="1:40" s="278" customFormat="1" ht="17.25" customHeight="1">
      <c r="A26" s="387">
        <f t="shared" si="1"/>
        <v>7</v>
      </c>
      <c r="B26" s="388">
        <v>4</v>
      </c>
      <c r="C26" s="573">
        <v>0.5208333333333334</v>
      </c>
      <c r="D26" s="389">
        <v>7</v>
      </c>
      <c r="E26" s="485">
        <v>5</v>
      </c>
      <c r="F26" s="390" t="str">
        <f>T10</f>
        <v>TV Klarenthal</v>
      </c>
      <c r="G26" s="153" t="s">
        <v>7</v>
      </c>
      <c r="H26" s="595" t="str">
        <f>T14</f>
        <v>SG Stern Kaulsdorf</v>
      </c>
      <c r="I26" s="596"/>
      <c r="J26" s="596"/>
      <c r="K26" s="495">
        <v>11</v>
      </c>
      <c r="L26" s="153" t="s">
        <v>7</v>
      </c>
      <c r="M26" s="497">
        <v>9</v>
      </c>
      <c r="N26" s="495">
        <v>4</v>
      </c>
      <c r="O26" s="153" t="s">
        <v>7</v>
      </c>
      <c r="P26" s="497">
        <v>11</v>
      </c>
      <c r="Q26" s="495">
        <v>11</v>
      </c>
      <c r="R26" s="153" t="s">
        <v>7</v>
      </c>
      <c r="S26" s="497">
        <v>8</v>
      </c>
      <c r="T26" s="391" t="str">
        <f>T13</f>
        <v>VfB Stuttgart</v>
      </c>
      <c r="U26" s="601" t="str">
        <f>'[2]Gesamtplan Sa'!$E$37</f>
        <v>M. Niedermayer</v>
      </c>
      <c r="V26" s="601"/>
      <c r="W26" s="601"/>
      <c r="X26" s="392" t="str">
        <f t="shared" si="0"/>
        <v>Vorrunde Gruppe B</v>
      </c>
      <c r="Y26" s="393">
        <f t="shared" si="2"/>
        <v>40425</v>
      </c>
      <c r="Z26" s="394">
        <f t="shared" si="3"/>
        <v>1</v>
      </c>
      <c r="AA26" s="394">
        <f t="shared" si="4"/>
        <v>0</v>
      </c>
      <c r="AB26" s="394">
        <f t="shared" si="5"/>
        <v>1</v>
      </c>
      <c r="AC26" s="394">
        <f t="shared" si="6"/>
        <v>0</v>
      </c>
      <c r="AD26" s="394">
        <f t="shared" si="7"/>
        <v>1</v>
      </c>
      <c r="AE26" s="394">
        <f t="shared" si="8"/>
        <v>0</v>
      </c>
      <c r="AF26" s="272">
        <f t="shared" si="9"/>
        <v>26</v>
      </c>
      <c r="AG26" s="273" t="s">
        <v>7</v>
      </c>
      <c r="AH26" s="274">
        <f t="shared" si="10"/>
        <v>28</v>
      </c>
      <c r="AI26" s="272">
        <f t="shared" si="11"/>
        <v>2</v>
      </c>
      <c r="AJ26" s="273" t="s">
        <v>7</v>
      </c>
      <c r="AK26" s="274">
        <f t="shared" si="12"/>
        <v>1</v>
      </c>
      <c r="AL26" s="272">
        <f t="shared" si="13"/>
        <v>2</v>
      </c>
      <c r="AM26" s="273" t="s">
        <v>7</v>
      </c>
      <c r="AN26" s="274">
        <f t="shared" si="14"/>
        <v>0</v>
      </c>
    </row>
    <row r="27" spans="1:40" s="278" customFormat="1" ht="17.25" customHeight="1" thickBot="1">
      <c r="A27" s="403">
        <f t="shared" si="1"/>
        <v>8</v>
      </c>
      <c r="B27" s="551">
        <f>B26</f>
        <v>4</v>
      </c>
      <c r="C27" s="549">
        <f>C26</f>
        <v>0.5208333333333334</v>
      </c>
      <c r="D27" s="397">
        <v>8</v>
      </c>
      <c r="E27" s="486">
        <v>6</v>
      </c>
      <c r="F27" s="398" t="str">
        <f>T11</f>
        <v>TV Wünschmichelbach</v>
      </c>
      <c r="G27" s="154" t="s">
        <v>7</v>
      </c>
      <c r="H27" s="653" t="str">
        <f>T12</f>
        <v>TSV Bayer Leverkusen</v>
      </c>
      <c r="I27" s="654"/>
      <c r="J27" s="654"/>
      <c r="K27" s="496">
        <v>8</v>
      </c>
      <c r="L27" s="154" t="s">
        <v>7</v>
      </c>
      <c r="M27" s="498">
        <v>11</v>
      </c>
      <c r="N27" s="496">
        <v>10</v>
      </c>
      <c r="O27" s="154" t="s">
        <v>7</v>
      </c>
      <c r="P27" s="498">
        <v>12</v>
      </c>
      <c r="Q27" s="496"/>
      <c r="R27" s="154" t="s">
        <v>7</v>
      </c>
      <c r="S27" s="498"/>
      <c r="T27" s="399" t="str">
        <f>T13</f>
        <v>VfB Stuttgart</v>
      </c>
      <c r="U27" s="665" t="str">
        <f>'[2]Gesamtplan Sa'!$H$37</f>
        <v>G. Heyne</v>
      </c>
      <c r="V27" s="665"/>
      <c r="W27" s="665"/>
      <c r="X27" s="400" t="str">
        <f t="shared" si="0"/>
        <v>Vorrunde Gruppe B</v>
      </c>
      <c r="Y27" s="401">
        <f t="shared" si="2"/>
        <v>40425</v>
      </c>
      <c r="Z27" s="402">
        <f t="shared" si="3"/>
        <v>0</v>
      </c>
      <c r="AA27" s="402">
        <f t="shared" si="4"/>
        <v>0</v>
      </c>
      <c r="AB27" s="402">
        <f t="shared" si="5"/>
      </c>
      <c r="AC27" s="402">
        <f t="shared" si="6"/>
        <v>1</v>
      </c>
      <c r="AD27" s="402">
        <f t="shared" si="7"/>
        <v>1</v>
      </c>
      <c r="AE27" s="402">
        <f t="shared" si="8"/>
      </c>
      <c r="AF27" s="275">
        <f t="shared" si="9"/>
        <v>18</v>
      </c>
      <c r="AG27" s="276" t="s">
        <v>7</v>
      </c>
      <c r="AH27" s="277">
        <f t="shared" si="10"/>
        <v>23</v>
      </c>
      <c r="AI27" s="275">
        <f t="shared" si="11"/>
        <v>0</v>
      </c>
      <c r="AJ27" s="276" t="s">
        <v>7</v>
      </c>
      <c r="AK27" s="277">
        <f t="shared" si="12"/>
        <v>2</v>
      </c>
      <c r="AL27" s="275">
        <f t="shared" si="13"/>
        <v>0</v>
      </c>
      <c r="AM27" s="276" t="s">
        <v>7</v>
      </c>
      <c r="AN27" s="277">
        <f t="shared" si="14"/>
        <v>2</v>
      </c>
    </row>
    <row r="28" spans="1:40" s="278" customFormat="1" ht="17.25" customHeight="1">
      <c r="A28" s="544">
        <f t="shared" si="1"/>
        <v>9</v>
      </c>
      <c r="B28" s="388">
        <v>5</v>
      </c>
      <c r="C28" s="573">
        <v>0.548611111111111</v>
      </c>
      <c r="D28" s="389">
        <v>9</v>
      </c>
      <c r="E28" s="485">
        <v>5</v>
      </c>
      <c r="F28" s="390" t="str">
        <f>F10</f>
        <v>ETV  Hamburg</v>
      </c>
      <c r="G28" s="153" t="s">
        <v>7</v>
      </c>
      <c r="H28" s="595" t="str">
        <f>F12</f>
        <v>TV Dinglingen</v>
      </c>
      <c r="I28" s="596"/>
      <c r="J28" s="596"/>
      <c r="K28" s="495">
        <v>11</v>
      </c>
      <c r="L28" s="153" t="s">
        <v>7</v>
      </c>
      <c r="M28" s="497">
        <v>8</v>
      </c>
      <c r="N28" s="495">
        <v>11</v>
      </c>
      <c r="O28" s="153" t="s">
        <v>7</v>
      </c>
      <c r="P28" s="497">
        <v>5</v>
      </c>
      <c r="Q28" s="495"/>
      <c r="R28" s="153" t="s">
        <v>7</v>
      </c>
      <c r="S28" s="497"/>
      <c r="T28" s="391" t="str">
        <f>F11</f>
        <v>TV GH Brettorf</v>
      </c>
      <c r="U28" s="601" t="str">
        <f>'[2]Gesamtplan Sa'!$E$38</f>
        <v>HP Brosig</v>
      </c>
      <c r="V28" s="601"/>
      <c r="W28" s="601"/>
      <c r="X28" s="392" t="str">
        <f t="shared" si="0"/>
        <v>Vorrunde Gruppe A</v>
      </c>
      <c r="Y28" s="393">
        <f t="shared" si="2"/>
        <v>40425</v>
      </c>
      <c r="Z28" s="394">
        <f t="shared" si="3"/>
        <v>1</v>
      </c>
      <c r="AA28" s="394">
        <f t="shared" si="4"/>
        <v>1</v>
      </c>
      <c r="AB28" s="394">
        <f t="shared" si="5"/>
      </c>
      <c r="AC28" s="394">
        <f t="shared" si="6"/>
        <v>0</v>
      </c>
      <c r="AD28" s="394">
        <f t="shared" si="7"/>
        <v>0</v>
      </c>
      <c r="AE28" s="394">
        <f t="shared" si="8"/>
      </c>
      <c r="AF28" s="272">
        <f t="shared" si="9"/>
        <v>22</v>
      </c>
      <c r="AG28" s="273" t="s">
        <v>7</v>
      </c>
      <c r="AH28" s="274">
        <f t="shared" si="10"/>
        <v>13</v>
      </c>
      <c r="AI28" s="272">
        <f t="shared" si="11"/>
        <v>2</v>
      </c>
      <c r="AJ28" s="273" t="s">
        <v>7</v>
      </c>
      <c r="AK28" s="274">
        <f t="shared" si="12"/>
        <v>0</v>
      </c>
      <c r="AL28" s="272">
        <f t="shared" si="13"/>
        <v>2</v>
      </c>
      <c r="AM28" s="273" t="s">
        <v>7</v>
      </c>
      <c r="AN28" s="274">
        <f t="shared" si="14"/>
        <v>0</v>
      </c>
    </row>
    <row r="29" spans="1:40" s="278" customFormat="1" ht="17.25" customHeight="1" thickBot="1">
      <c r="A29" s="403">
        <f t="shared" si="1"/>
        <v>10</v>
      </c>
      <c r="B29" s="552">
        <f>B28</f>
        <v>5</v>
      </c>
      <c r="C29" s="550">
        <f>C28</f>
        <v>0.548611111111111</v>
      </c>
      <c r="D29" s="530">
        <v>10</v>
      </c>
      <c r="E29" s="531">
        <v>6</v>
      </c>
      <c r="F29" s="532" t="str">
        <f>F13</f>
        <v>TV Segnitz</v>
      </c>
      <c r="G29" s="533" t="s">
        <v>7</v>
      </c>
      <c r="H29" s="682" t="str">
        <f>F14</f>
        <v>MSV Buna Schkopau</v>
      </c>
      <c r="I29" s="683"/>
      <c r="J29" s="683"/>
      <c r="K29" s="535">
        <v>11</v>
      </c>
      <c r="L29" s="533" t="s">
        <v>7</v>
      </c>
      <c r="M29" s="536">
        <v>8</v>
      </c>
      <c r="N29" s="535">
        <v>14</v>
      </c>
      <c r="O29" s="533" t="s">
        <v>7</v>
      </c>
      <c r="P29" s="536">
        <v>15</v>
      </c>
      <c r="Q29" s="535">
        <v>11</v>
      </c>
      <c r="R29" s="533" t="s">
        <v>7</v>
      </c>
      <c r="S29" s="536">
        <v>6</v>
      </c>
      <c r="T29" s="534" t="str">
        <f>F11</f>
        <v>TV GH Brettorf</v>
      </c>
      <c r="U29" s="681" t="str">
        <f>'[2]Gesamtplan Sa'!$H$38</f>
        <v>A. Breithaupt</v>
      </c>
      <c r="V29" s="681"/>
      <c r="W29" s="681"/>
      <c r="X29" s="537" t="str">
        <f t="shared" si="0"/>
        <v>Vorrunde Gruppe A</v>
      </c>
      <c r="Y29" s="538">
        <f t="shared" si="2"/>
        <v>40425</v>
      </c>
      <c r="Z29" s="539">
        <f t="shared" si="3"/>
        <v>1</v>
      </c>
      <c r="AA29" s="539">
        <f t="shared" si="4"/>
        <v>0</v>
      </c>
      <c r="AB29" s="539">
        <f t="shared" si="5"/>
        <v>1</v>
      </c>
      <c r="AC29" s="539">
        <f t="shared" si="6"/>
        <v>0</v>
      </c>
      <c r="AD29" s="539">
        <f t="shared" si="7"/>
        <v>1</v>
      </c>
      <c r="AE29" s="539">
        <f t="shared" si="8"/>
        <v>0</v>
      </c>
      <c r="AF29" s="540">
        <f t="shared" si="9"/>
        <v>36</v>
      </c>
      <c r="AG29" s="541" t="s">
        <v>7</v>
      </c>
      <c r="AH29" s="542">
        <f t="shared" si="10"/>
        <v>29</v>
      </c>
      <c r="AI29" s="540">
        <f t="shared" si="11"/>
        <v>2</v>
      </c>
      <c r="AJ29" s="541" t="s">
        <v>7</v>
      </c>
      <c r="AK29" s="542">
        <f t="shared" si="12"/>
        <v>1</v>
      </c>
      <c r="AL29" s="540">
        <f t="shared" si="13"/>
        <v>2</v>
      </c>
      <c r="AM29" s="541" t="s">
        <v>7</v>
      </c>
      <c r="AN29" s="542">
        <f t="shared" si="14"/>
        <v>0</v>
      </c>
    </row>
    <row r="30" spans="1:40" s="278" customFormat="1" ht="17.25" customHeight="1">
      <c r="A30" s="264">
        <f t="shared" si="1"/>
        <v>11</v>
      </c>
      <c r="B30" s="388">
        <v>6</v>
      </c>
      <c r="C30" s="573">
        <v>0.576388888888889</v>
      </c>
      <c r="D30" s="389">
        <v>11</v>
      </c>
      <c r="E30" s="485">
        <v>5</v>
      </c>
      <c r="F30" s="390" t="str">
        <f>T10</f>
        <v>TV Klarenthal</v>
      </c>
      <c r="G30" s="153" t="s">
        <v>7</v>
      </c>
      <c r="H30" s="595" t="str">
        <f>T12</f>
        <v>TSV Bayer Leverkusen</v>
      </c>
      <c r="I30" s="596"/>
      <c r="J30" s="596"/>
      <c r="K30" s="495">
        <v>12</v>
      </c>
      <c r="L30" s="153" t="s">
        <v>7</v>
      </c>
      <c r="M30" s="497">
        <v>10</v>
      </c>
      <c r="N30" s="495">
        <v>5</v>
      </c>
      <c r="O30" s="153" t="s">
        <v>7</v>
      </c>
      <c r="P30" s="497">
        <v>11</v>
      </c>
      <c r="Q30" s="495">
        <v>13</v>
      </c>
      <c r="R30" s="153" t="s">
        <v>7</v>
      </c>
      <c r="S30" s="497">
        <v>11</v>
      </c>
      <c r="T30" s="391" t="str">
        <f>T11</f>
        <v>TV Wünschmichelbach</v>
      </c>
      <c r="U30" s="601" t="str">
        <f>'[2]Gesamtplan Sa'!$E$39</f>
        <v>H. Appel</v>
      </c>
      <c r="V30" s="601"/>
      <c r="W30" s="601"/>
      <c r="X30" s="392" t="str">
        <f t="shared" si="0"/>
        <v>Vorrunde Gruppe B</v>
      </c>
      <c r="Y30" s="393">
        <f aca="true" t="shared" si="15" ref="Y30:Y39">$K$7</f>
        <v>40425</v>
      </c>
      <c r="Z30" s="394">
        <f t="shared" si="3"/>
        <v>1</v>
      </c>
      <c r="AA30" s="394">
        <f t="shared" si="4"/>
        <v>0</v>
      </c>
      <c r="AB30" s="394">
        <f t="shared" si="5"/>
        <v>1</v>
      </c>
      <c r="AC30" s="394">
        <f t="shared" si="6"/>
        <v>0</v>
      </c>
      <c r="AD30" s="394">
        <f t="shared" si="7"/>
        <v>1</v>
      </c>
      <c r="AE30" s="394">
        <f t="shared" si="8"/>
        <v>0</v>
      </c>
      <c r="AF30" s="272">
        <f t="shared" si="9"/>
        <v>30</v>
      </c>
      <c r="AG30" s="273" t="s">
        <v>7</v>
      </c>
      <c r="AH30" s="274">
        <f t="shared" si="10"/>
        <v>32</v>
      </c>
      <c r="AI30" s="272">
        <f t="shared" si="11"/>
        <v>2</v>
      </c>
      <c r="AJ30" s="273" t="s">
        <v>7</v>
      </c>
      <c r="AK30" s="274">
        <f t="shared" si="12"/>
        <v>1</v>
      </c>
      <c r="AL30" s="272">
        <f t="shared" si="13"/>
        <v>2</v>
      </c>
      <c r="AM30" s="273" t="s">
        <v>7</v>
      </c>
      <c r="AN30" s="274">
        <f t="shared" si="14"/>
        <v>0</v>
      </c>
    </row>
    <row r="31" spans="1:40" s="278" customFormat="1" ht="17.25" customHeight="1" thickBot="1">
      <c r="A31" s="264">
        <f t="shared" si="1"/>
        <v>12</v>
      </c>
      <c r="B31" s="551">
        <f>B30</f>
        <v>6</v>
      </c>
      <c r="C31" s="549">
        <f>C30</f>
        <v>0.576388888888889</v>
      </c>
      <c r="D31" s="397">
        <v>12</v>
      </c>
      <c r="E31" s="486">
        <v>6</v>
      </c>
      <c r="F31" s="398" t="str">
        <f>T13</f>
        <v>VfB Stuttgart</v>
      </c>
      <c r="G31" s="154" t="s">
        <v>7</v>
      </c>
      <c r="H31" s="653" t="str">
        <f>T14</f>
        <v>SG Stern Kaulsdorf</v>
      </c>
      <c r="I31" s="654"/>
      <c r="J31" s="654"/>
      <c r="K31" s="496">
        <v>8</v>
      </c>
      <c r="L31" s="154" t="s">
        <v>7</v>
      </c>
      <c r="M31" s="498">
        <v>11</v>
      </c>
      <c r="N31" s="496">
        <v>15</v>
      </c>
      <c r="O31" s="154" t="s">
        <v>7</v>
      </c>
      <c r="P31" s="498">
        <v>14</v>
      </c>
      <c r="Q31" s="496">
        <v>5</v>
      </c>
      <c r="R31" s="154" t="s">
        <v>7</v>
      </c>
      <c r="S31" s="498">
        <v>11</v>
      </c>
      <c r="T31" s="399" t="str">
        <f>T11</f>
        <v>TV Wünschmichelbach</v>
      </c>
      <c r="U31" s="665" t="str">
        <f>'[2]Gesamtplan Sa'!$H$39</f>
        <v>M. Niedermayer</v>
      </c>
      <c r="V31" s="665"/>
      <c r="W31" s="665"/>
      <c r="X31" s="400" t="str">
        <f t="shared" si="0"/>
        <v>Vorrunde Gruppe B</v>
      </c>
      <c r="Y31" s="401">
        <f t="shared" si="15"/>
        <v>40425</v>
      </c>
      <c r="Z31" s="402">
        <f t="shared" si="3"/>
        <v>0</v>
      </c>
      <c r="AA31" s="402">
        <f t="shared" si="4"/>
        <v>1</v>
      </c>
      <c r="AB31" s="402">
        <f t="shared" si="5"/>
        <v>0</v>
      </c>
      <c r="AC31" s="402">
        <f t="shared" si="6"/>
        <v>1</v>
      </c>
      <c r="AD31" s="402">
        <f t="shared" si="7"/>
        <v>0</v>
      </c>
      <c r="AE31" s="402">
        <f t="shared" si="8"/>
        <v>1</v>
      </c>
      <c r="AF31" s="275">
        <f t="shared" si="9"/>
        <v>28</v>
      </c>
      <c r="AG31" s="276" t="s">
        <v>7</v>
      </c>
      <c r="AH31" s="277">
        <f t="shared" si="10"/>
        <v>36</v>
      </c>
      <c r="AI31" s="275">
        <f t="shared" si="11"/>
        <v>1</v>
      </c>
      <c r="AJ31" s="276" t="s">
        <v>7</v>
      </c>
      <c r="AK31" s="277">
        <f t="shared" si="12"/>
        <v>2</v>
      </c>
      <c r="AL31" s="275">
        <f t="shared" si="13"/>
        <v>0</v>
      </c>
      <c r="AM31" s="276" t="s">
        <v>7</v>
      </c>
      <c r="AN31" s="277">
        <f t="shared" si="14"/>
        <v>2</v>
      </c>
    </row>
    <row r="32" spans="1:40" s="278" customFormat="1" ht="17.25" customHeight="1">
      <c r="A32" s="543">
        <f t="shared" si="1"/>
        <v>13</v>
      </c>
      <c r="B32" s="388">
        <v>7</v>
      </c>
      <c r="C32" s="573">
        <v>0.6041666666666666</v>
      </c>
      <c r="D32" s="389">
        <v>13</v>
      </c>
      <c r="E32" s="485">
        <v>5</v>
      </c>
      <c r="F32" s="390" t="str">
        <f>F11</f>
        <v>TV GH Brettorf</v>
      </c>
      <c r="G32" s="153" t="s">
        <v>7</v>
      </c>
      <c r="H32" s="595" t="str">
        <f>F13</f>
        <v>TV Segnitz</v>
      </c>
      <c r="I32" s="596"/>
      <c r="J32" s="596"/>
      <c r="K32" s="495">
        <v>11</v>
      </c>
      <c r="L32" s="153" t="s">
        <v>7</v>
      </c>
      <c r="M32" s="497">
        <v>9</v>
      </c>
      <c r="N32" s="495">
        <v>6</v>
      </c>
      <c r="O32" s="153" t="s">
        <v>7</v>
      </c>
      <c r="P32" s="497">
        <v>11</v>
      </c>
      <c r="Q32" s="495">
        <v>9</v>
      </c>
      <c r="R32" s="153" t="s">
        <v>7</v>
      </c>
      <c r="S32" s="497">
        <v>11</v>
      </c>
      <c r="T32" s="391" t="str">
        <f>F10</f>
        <v>ETV  Hamburg</v>
      </c>
      <c r="U32" s="601" t="str">
        <f>'[2]Gesamtplan Sa'!$E$40</f>
        <v>St. Lutz</v>
      </c>
      <c r="V32" s="601"/>
      <c r="W32" s="601"/>
      <c r="X32" s="392" t="str">
        <f t="shared" si="0"/>
        <v>Vorrunde Gruppe A</v>
      </c>
      <c r="Y32" s="393">
        <f t="shared" si="15"/>
        <v>40425</v>
      </c>
      <c r="Z32" s="394">
        <f t="shared" si="3"/>
        <v>1</v>
      </c>
      <c r="AA32" s="394">
        <f t="shared" si="4"/>
        <v>0</v>
      </c>
      <c r="AB32" s="394">
        <f t="shared" si="5"/>
        <v>0</v>
      </c>
      <c r="AC32" s="394">
        <f t="shared" si="6"/>
        <v>0</v>
      </c>
      <c r="AD32" s="394">
        <f t="shared" si="7"/>
        <v>1</v>
      </c>
      <c r="AE32" s="394">
        <f t="shared" si="8"/>
        <v>1</v>
      </c>
      <c r="AF32" s="272">
        <f t="shared" si="9"/>
        <v>26</v>
      </c>
      <c r="AG32" s="273" t="s">
        <v>7</v>
      </c>
      <c r="AH32" s="274">
        <f t="shared" si="10"/>
        <v>31</v>
      </c>
      <c r="AI32" s="272">
        <f t="shared" si="11"/>
        <v>1</v>
      </c>
      <c r="AJ32" s="273" t="s">
        <v>7</v>
      </c>
      <c r="AK32" s="274">
        <f t="shared" si="12"/>
        <v>2</v>
      </c>
      <c r="AL32" s="272">
        <f t="shared" si="13"/>
        <v>0</v>
      </c>
      <c r="AM32" s="273" t="s">
        <v>7</v>
      </c>
      <c r="AN32" s="274">
        <f t="shared" si="14"/>
        <v>2</v>
      </c>
    </row>
    <row r="33" spans="1:40" s="278" customFormat="1" ht="17.25" customHeight="1" thickBot="1">
      <c r="A33" s="545">
        <f t="shared" si="1"/>
        <v>14</v>
      </c>
      <c r="B33" s="551">
        <f>B32</f>
        <v>7</v>
      </c>
      <c r="C33" s="549">
        <f>C32</f>
        <v>0.6041666666666666</v>
      </c>
      <c r="D33" s="397">
        <v>14</v>
      </c>
      <c r="E33" s="486">
        <v>6</v>
      </c>
      <c r="F33" s="398" t="str">
        <f>F12</f>
        <v>TV Dinglingen</v>
      </c>
      <c r="G33" s="154" t="s">
        <v>7</v>
      </c>
      <c r="H33" s="653" t="str">
        <f>F14</f>
        <v>MSV Buna Schkopau</v>
      </c>
      <c r="I33" s="654"/>
      <c r="J33" s="654"/>
      <c r="K33" s="496">
        <v>11</v>
      </c>
      <c r="L33" s="154" t="s">
        <v>7</v>
      </c>
      <c r="M33" s="498">
        <v>5</v>
      </c>
      <c r="N33" s="496">
        <v>11</v>
      </c>
      <c r="O33" s="154" t="s">
        <v>7</v>
      </c>
      <c r="P33" s="498">
        <v>5</v>
      </c>
      <c r="Q33" s="496"/>
      <c r="R33" s="154" t="s">
        <v>7</v>
      </c>
      <c r="S33" s="498"/>
      <c r="T33" s="399" t="str">
        <f>F10</f>
        <v>ETV  Hamburg</v>
      </c>
      <c r="U33" s="665" t="str">
        <f>'[2]Gesamtplan Sa'!$H$40</f>
        <v>R. Happersberger</v>
      </c>
      <c r="V33" s="665"/>
      <c r="W33" s="665"/>
      <c r="X33" s="400" t="str">
        <f t="shared" si="0"/>
        <v>Vorrunde Gruppe A</v>
      </c>
      <c r="Y33" s="401">
        <f t="shared" si="15"/>
        <v>40425</v>
      </c>
      <c r="Z33" s="402">
        <f t="shared" si="3"/>
        <v>1</v>
      </c>
      <c r="AA33" s="402">
        <f t="shared" si="4"/>
        <v>1</v>
      </c>
      <c r="AB33" s="402">
        <f t="shared" si="5"/>
      </c>
      <c r="AC33" s="402">
        <f t="shared" si="6"/>
        <v>0</v>
      </c>
      <c r="AD33" s="402">
        <f t="shared" si="7"/>
        <v>0</v>
      </c>
      <c r="AE33" s="402">
        <f t="shared" si="8"/>
      </c>
      <c r="AF33" s="275">
        <f t="shared" si="9"/>
        <v>22</v>
      </c>
      <c r="AG33" s="276" t="s">
        <v>7</v>
      </c>
      <c r="AH33" s="277">
        <f t="shared" si="10"/>
        <v>10</v>
      </c>
      <c r="AI33" s="275">
        <f t="shared" si="11"/>
        <v>2</v>
      </c>
      <c r="AJ33" s="276" t="s">
        <v>7</v>
      </c>
      <c r="AK33" s="277">
        <f t="shared" si="12"/>
        <v>0</v>
      </c>
      <c r="AL33" s="275">
        <f t="shared" si="13"/>
        <v>2</v>
      </c>
      <c r="AM33" s="276" t="s">
        <v>7</v>
      </c>
      <c r="AN33" s="277">
        <f t="shared" si="14"/>
        <v>0</v>
      </c>
    </row>
    <row r="34" spans="1:41" s="278" customFormat="1" ht="17.25" customHeight="1" thickBot="1">
      <c r="A34" s="264">
        <f t="shared" si="1"/>
        <v>15</v>
      </c>
      <c r="B34" s="388">
        <v>8</v>
      </c>
      <c r="C34" s="573">
        <v>0.6319444444444444</v>
      </c>
      <c r="D34" s="389">
        <v>15</v>
      </c>
      <c r="E34" s="485">
        <v>5</v>
      </c>
      <c r="F34" s="390" t="str">
        <f>T11</f>
        <v>TV Wünschmichelbach</v>
      </c>
      <c r="G34" s="153" t="s">
        <v>7</v>
      </c>
      <c r="H34" s="595" t="str">
        <f>T13</f>
        <v>VfB Stuttgart</v>
      </c>
      <c r="I34" s="596"/>
      <c r="J34" s="596"/>
      <c r="K34" s="495">
        <v>11</v>
      </c>
      <c r="L34" s="153" t="s">
        <v>7</v>
      </c>
      <c r="M34" s="497">
        <v>5</v>
      </c>
      <c r="N34" s="495">
        <v>10</v>
      </c>
      <c r="O34" s="153" t="s">
        <v>7</v>
      </c>
      <c r="P34" s="497">
        <v>12</v>
      </c>
      <c r="Q34" s="495">
        <v>11</v>
      </c>
      <c r="R34" s="153" t="s">
        <v>7</v>
      </c>
      <c r="S34" s="497">
        <v>8</v>
      </c>
      <c r="T34" s="391" t="str">
        <f>T10</f>
        <v>TV Klarenthal</v>
      </c>
      <c r="U34" s="601" t="str">
        <f>'[2]Gesamtplan Sa'!$E$41</f>
        <v>G. Wolff</v>
      </c>
      <c r="V34" s="601"/>
      <c r="W34" s="601"/>
      <c r="X34" s="392" t="str">
        <f t="shared" si="0"/>
        <v>Vorrunde Gruppe B</v>
      </c>
      <c r="Y34" s="393">
        <f t="shared" si="15"/>
        <v>40425</v>
      </c>
      <c r="Z34" s="394">
        <f t="shared" si="3"/>
        <v>1</v>
      </c>
      <c r="AA34" s="394">
        <f t="shared" si="4"/>
        <v>0</v>
      </c>
      <c r="AB34" s="394">
        <f t="shared" si="5"/>
        <v>1</v>
      </c>
      <c r="AC34" s="394">
        <f t="shared" si="6"/>
        <v>0</v>
      </c>
      <c r="AD34" s="394">
        <f t="shared" si="7"/>
        <v>1</v>
      </c>
      <c r="AE34" s="394">
        <f t="shared" si="8"/>
        <v>0</v>
      </c>
      <c r="AF34" s="272">
        <f t="shared" si="9"/>
        <v>32</v>
      </c>
      <c r="AG34" s="273" t="s">
        <v>7</v>
      </c>
      <c r="AH34" s="274">
        <f t="shared" si="10"/>
        <v>25</v>
      </c>
      <c r="AI34" s="272">
        <f t="shared" si="11"/>
        <v>2</v>
      </c>
      <c r="AJ34" s="273" t="s">
        <v>7</v>
      </c>
      <c r="AK34" s="274">
        <f t="shared" si="12"/>
        <v>1</v>
      </c>
      <c r="AL34" s="272">
        <f t="shared" si="13"/>
        <v>2</v>
      </c>
      <c r="AM34" s="273" t="s">
        <v>7</v>
      </c>
      <c r="AN34" s="274">
        <f t="shared" si="14"/>
        <v>0</v>
      </c>
      <c r="AO34" s="230"/>
    </row>
    <row r="35" spans="1:40" s="278" customFormat="1" ht="17.25" customHeight="1" thickBot="1">
      <c r="A35" s="543">
        <f t="shared" si="1"/>
        <v>16</v>
      </c>
      <c r="B35" s="551">
        <f>B34</f>
        <v>8</v>
      </c>
      <c r="C35" s="549">
        <f>C34</f>
        <v>0.6319444444444444</v>
      </c>
      <c r="D35" s="397">
        <v>16</v>
      </c>
      <c r="E35" s="486">
        <v>6</v>
      </c>
      <c r="F35" s="398" t="str">
        <f>T12</f>
        <v>TSV Bayer Leverkusen</v>
      </c>
      <c r="G35" s="154" t="s">
        <v>7</v>
      </c>
      <c r="H35" s="653" t="str">
        <f>T14</f>
        <v>SG Stern Kaulsdorf</v>
      </c>
      <c r="I35" s="654"/>
      <c r="J35" s="654"/>
      <c r="K35" s="496">
        <v>11</v>
      </c>
      <c r="L35" s="154" t="s">
        <v>7</v>
      </c>
      <c r="M35" s="498">
        <v>9</v>
      </c>
      <c r="N35" s="496">
        <v>11</v>
      </c>
      <c r="O35" s="154" t="s">
        <v>7</v>
      </c>
      <c r="P35" s="498">
        <v>9</v>
      </c>
      <c r="Q35" s="496"/>
      <c r="R35" s="154" t="s">
        <v>7</v>
      </c>
      <c r="S35" s="498"/>
      <c r="T35" s="399" t="str">
        <f>T10</f>
        <v>TV Klarenthal</v>
      </c>
      <c r="U35" s="665" t="str">
        <f>'[2]Gesamtplan Sa'!$H$41</f>
        <v>A. Gruhlke</v>
      </c>
      <c r="V35" s="665"/>
      <c r="W35" s="665"/>
      <c r="X35" s="400" t="str">
        <f t="shared" si="0"/>
        <v>Vorrunde Gruppe B</v>
      </c>
      <c r="Y35" s="401">
        <f t="shared" si="15"/>
        <v>40425</v>
      </c>
      <c r="Z35" s="402">
        <f t="shared" si="3"/>
        <v>1</v>
      </c>
      <c r="AA35" s="402">
        <f t="shared" si="4"/>
        <v>1</v>
      </c>
      <c r="AB35" s="402">
        <f t="shared" si="5"/>
      </c>
      <c r="AC35" s="402">
        <f t="shared" si="6"/>
        <v>0</v>
      </c>
      <c r="AD35" s="402">
        <f t="shared" si="7"/>
        <v>0</v>
      </c>
      <c r="AE35" s="402">
        <f t="shared" si="8"/>
      </c>
      <c r="AF35" s="275">
        <f t="shared" si="9"/>
        <v>22</v>
      </c>
      <c r="AG35" s="276" t="s">
        <v>7</v>
      </c>
      <c r="AH35" s="277">
        <f t="shared" si="10"/>
        <v>18</v>
      </c>
      <c r="AI35" s="275">
        <f t="shared" si="11"/>
        <v>2</v>
      </c>
      <c r="AJ35" s="276" t="s">
        <v>7</v>
      </c>
      <c r="AK35" s="277">
        <f t="shared" si="12"/>
        <v>0</v>
      </c>
      <c r="AL35" s="275">
        <f t="shared" si="13"/>
        <v>2</v>
      </c>
      <c r="AM35" s="276" t="s">
        <v>7</v>
      </c>
      <c r="AN35" s="277">
        <f t="shared" si="14"/>
        <v>0</v>
      </c>
    </row>
    <row r="36" spans="1:40" s="278" customFormat="1" ht="17.25" customHeight="1">
      <c r="A36" s="387">
        <f t="shared" si="1"/>
        <v>17</v>
      </c>
      <c r="B36" s="388">
        <v>9</v>
      </c>
      <c r="C36" s="573">
        <v>0.6597222222222222</v>
      </c>
      <c r="D36" s="389">
        <v>17</v>
      </c>
      <c r="E36" s="485">
        <v>5</v>
      </c>
      <c r="F36" s="390" t="str">
        <f>F10</f>
        <v>ETV  Hamburg</v>
      </c>
      <c r="G36" s="153" t="s">
        <v>7</v>
      </c>
      <c r="H36" s="595" t="str">
        <f>F13</f>
        <v>TV Segnitz</v>
      </c>
      <c r="I36" s="596"/>
      <c r="J36" s="596"/>
      <c r="K36" s="495">
        <v>11</v>
      </c>
      <c r="L36" s="153" t="s">
        <v>7</v>
      </c>
      <c r="M36" s="497">
        <v>7</v>
      </c>
      <c r="N36" s="495">
        <v>11</v>
      </c>
      <c r="O36" s="153" t="s">
        <v>7</v>
      </c>
      <c r="P36" s="497">
        <v>7</v>
      </c>
      <c r="Q36" s="495"/>
      <c r="R36" s="153" t="s">
        <v>7</v>
      </c>
      <c r="S36" s="497"/>
      <c r="T36" s="391" t="str">
        <f>F12</f>
        <v>TV Dinglingen</v>
      </c>
      <c r="U36" s="601" t="str">
        <f>'[2]Gesamtplan Sa'!$E$42</f>
        <v>V. Reich</v>
      </c>
      <c r="V36" s="601"/>
      <c r="W36" s="601"/>
      <c r="X36" s="392" t="str">
        <f t="shared" si="0"/>
        <v>Vorrunde Gruppe A</v>
      </c>
      <c r="Y36" s="393">
        <f t="shared" si="15"/>
        <v>40425</v>
      </c>
      <c r="Z36" s="394">
        <f t="shared" si="3"/>
        <v>1</v>
      </c>
      <c r="AA36" s="394">
        <f t="shared" si="4"/>
        <v>1</v>
      </c>
      <c r="AB36" s="394">
        <f t="shared" si="5"/>
      </c>
      <c r="AC36" s="394">
        <f t="shared" si="6"/>
        <v>0</v>
      </c>
      <c r="AD36" s="394">
        <f t="shared" si="7"/>
        <v>0</v>
      </c>
      <c r="AE36" s="394">
        <f t="shared" si="8"/>
      </c>
      <c r="AF36" s="272">
        <f t="shared" si="9"/>
        <v>22</v>
      </c>
      <c r="AG36" s="273" t="s">
        <v>7</v>
      </c>
      <c r="AH36" s="274">
        <f t="shared" si="10"/>
        <v>14</v>
      </c>
      <c r="AI36" s="272">
        <f t="shared" si="11"/>
        <v>2</v>
      </c>
      <c r="AJ36" s="273" t="s">
        <v>7</v>
      </c>
      <c r="AK36" s="274">
        <f t="shared" si="12"/>
        <v>0</v>
      </c>
      <c r="AL36" s="272">
        <f t="shared" si="13"/>
        <v>2</v>
      </c>
      <c r="AM36" s="273" t="s">
        <v>7</v>
      </c>
      <c r="AN36" s="274">
        <f t="shared" si="14"/>
        <v>0</v>
      </c>
    </row>
    <row r="37" spans="1:40" s="278" customFormat="1" ht="17.25" customHeight="1" thickBot="1">
      <c r="A37" s="403">
        <f t="shared" si="1"/>
        <v>18</v>
      </c>
      <c r="B37" s="551">
        <f>B36</f>
        <v>9</v>
      </c>
      <c r="C37" s="549">
        <f>C36</f>
        <v>0.6597222222222222</v>
      </c>
      <c r="D37" s="397">
        <v>18</v>
      </c>
      <c r="E37" s="486">
        <v>6</v>
      </c>
      <c r="F37" s="398" t="str">
        <f>F11</f>
        <v>TV GH Brettorf</v>
      </c>
      <c r="G37" s="154" t="s">
        <v>7</v>
      </c>
      <c r="H37" s="653" t="str">
        <f>F14</f>
        <v>MSV Buna Schkopau</v>
      </c>
      <c r="I37" s="654"/>
      <c r="J37" s="654"/>
      <c r="K37" s="496">
        <v>4</v>
      </c>
      <c r="L37" s="154" t="s">
        <v>7</v>
      </c>
      <c r="M37" s="498">
        <v>11</v>
      </c>
      <c r="N37" s="496">
        <v>6</v>
      </c>
      <c r="O37" s="154" t="s">
        <v>7</v>
      </c>
      <c r="P37" s="498">
        <v>11</v>
      </c>
      <c r="Q37" s="496"/>
      <c r="R37" s="154" t="s">
        <v>7</v>
      </c>
      <c r="S37" s="498"/>
      <c r="T37" s="399" t="str">
        <f>F12</f>
        <v>TV Dinglingen</v>
      </c>
      <c r="U37" s="665" t="str">
        <f>'[2]Gesamtplan Sa'!$H$42</f>
        <v>G. Heyne</v>
      </c>
      <c r="V37" s="665"/>
      <c r="W37" s="665"/>
      <c r="X37" s="400" t="str">
        <f t="shared" si="0"/>
        <v>Vorrunde Gruppe A</v>
      </c>
      <c r="Y37" s="401">
        <f t="shared" si="15"/>
        <v>40425</v>
      </c>
      <c r="Z37" s="402">
        <f t="shared" si="3"/>
        <v>0</v>
      </c>
      <c r="AA37" s="402">
        <f t="shared" si="4"/>
        <v>0</v>
      </c>
      <c r="AB37" s="402">
        <f t="shared" si="5"/>
      </c>
      <c r="AC37" s="402">
        <f t="shared" si="6"/>
        <v>1</v>
      </c>
      <c r="AD37" s="402">
        <f t="shared" si="7"/>
        <v>1</v>
      </c>
      <c r="AE37" s="402">
        <f t="shared" si="8"/>
      </c>
      <c r="AF37" s="275">
        <f t="shared" si="9"/>
        <v>10</v>
      </c>
      <c r="AG37" s="276" t="s">
        <v>7</v>
      </c>
      <c r="AH37" s="277">
        <f t="shared" si="10"/>
        <v>22</v>
      </c>
      <c r="AI37" s="275">
        <f t="shared" si="11"/>
        <v>0</v>
      </c>
      <c r="AJ37" s="276" t="s">
        <v>7</v>
      </c>
      <c r="AK37" s="277">
        <f t="shared" si="12"/>
        <v>2</v>
      </c>
      <c r="AL37" s="275">
        <f t="shared" si="13"/>
        <v>0</v>
      </c>
      <c r="AM37" s="276" t="s">
        <v>7</v>
      </c>
      <c r="AN37" s="277">
        <f t="shared" si="14"/>
        <v>2</v>
      </c>
    </row>
    <row r="38" spans="1:40" s="278" customFormat="1" ht="17.25" customHeight="1">
      <c r="A38" s="544">
        <f t="shared" si="1"/>
        <v>19</v>
      </c>
      <c r="B38" s="388">
        <v>10</v>
      </c>
      <c r="C38" s="573">
        <v>0.6875</v>
      </c>
      <c r="D38" s="389">
        <v>19</v>
      </c>
      <c r="E38" s="485">
        <v>5</v>
      </c>
      <c r="F38" s="390" t="str">
        <f>T10</f>
        <v>TV Klarenthal</v>
      </c>
      <c r="G38" s="153" t="s">
        <v>7</v>
      </c>
      <c r="H38" s="595" t="str">
        <f>T13</f>
        <v>VfB Stuttgart</v>
      </c>
      <c r="I38" s="596"/>
      <c r="J38" s="596"/>
      <c r="K38" s="495">
        <v>11</v>
      </c>
      <c r="L38" s="153" t="s">
        <v>7</v>
      </c>
      <c r="M38" s="497">
        <v>8</v>
      </c>
      <c r="N38" s="495">
        <v>11</v>
      </c>
      <c r="O38" s="153" t="s">
        <v>7</v>
      </c>
      <c r="P38" s="497">
        <v>5</v>
      </c>
      <c r="Q38" s="495"/>
      <c r="R38" s="153" t="s">
        <v>7</v>
      </c>
      <c r="S38" s="497"/>
      <c r="T38" s="391" t="str">
        <f>T12</f>
        <v>TSV Bayer Leverkusen</v>
      </c>
      <c r="U38" s="601" t="str">
        <f>'[2]Gesamtplan Sa'!$E$43</f>
        <v>M. Reinhard</v>
      </c>
      <c r="V38" s="601"/>
      <c r="W38" s="601"/>
      <c r="X38" s="392" t="str">
        <f t="shared" si="0"/>
        <v>Vorrunde Gruppe B</v>
      </c>
      <c r="Y38" s="393">
        <f t="shared" si="15"/>
        <v>40425</v>
      </c>
      <c r="Z38" s="394">
        <f t="shared" si="3"/>
        <v>1</v>
      </c>
      <c r="AA38" s="394">
        <f t="shared" si="4"/>
        <v>1</v>
      </c>
      <c r="AB38" s="394">
        <f t="shared" si="5"/>
      </c>
      <c r="AC38" s="394">
        <f t="shared" si="6"/>
        <v>0</v>
      </c>
      <c r="AD38" s="394">
        <f t="shared" si="7"/>
        <v>0</v>
      </c>
      <c r="AE38" s="394">
        <f t="shared" si="8"/>
      </c>
      <c r="AF38" s="272">
        <f t="shared" si="9"/>
        <v>22</v>
      </c>
      <c r="AG38" s="273" t="s">
        <v>7</v>
      </c>
      <c r="AH38" s="274">
        <f t="shared" si="10"/>
        <v>13</v>
      </c>
      <c r="AI38" s="272">
        <f t="shared" si="11"/>
        <v>2</v>
      </c>
      <c r="AJ38" s="273" t="s">
        <v>7</v>
      </c>
      <c r="AK38" s="274">
        <f t="shared" si="12"/>
        <v>0</v>
      </c>
      <c r="AL38" s="272">
        <f t="shared" si="13"/>
        <v>2</v>
      </c>
      <c r="AM38" s="273" t="s">
        <v>7</v>
      </c>
      <c r="AN38" s="274">
        <f t="shared" si="14"/>
        <v>0</v>
      </c>
    </row>
    <row r="39" spans="1:40" s="278" customFormat="1" ht="17.25" customHeight="1" thickBot="1">
      <c r="A39" s="403">
        <f t="shared" si="1"/>
        <v>20</v>
      </c>
      <c r="B39" s="551">
        <f>B38</f>
        <v>10</v>
      </c>
      <c r="C39" s="549">
        <f>C38</f>
        <v>0.6875</v>
      </c>
      <c r="D39" s="397">
        <v>20</v>
      </c>
      <c r="E39" s="486">
        <v>6</v>
      </c>
      <c r="F39" s="398" t="str">
        <f>T11</f>
        <v>TV Wünschmichelbach</v>
      </c>
      <c r="G39" s="154" t="s">
        <v>7</v>
      </c>
      <c r="H39" s="653" t="str">
        <f>T14</f>
        <v>SG Stern Kaulsdorf</v>
      </c>
      <c r="I39" s="654"/>
      <c r="J39" s="654"/>
      <c r="K39" s="496">
        <v>5</v>
      </c>
      <c r="L39" s="154" t="s">
        <v>7</v>
      </c>
      <c r="M39" s="498">
        <v>11</v>
      </c>
      <c r="N39" s="496">
        <v>11</v>
      </c>
      <c r="O39" s="154" t="s">
        <v>7</v>
      </c>
      <c r="P39" s="498">
        <v>7</v>
      </c>
      <c r="Q39" s="496">
        <v>12</v>
      </c>
      <c r="R39" s="154" t="s">
        <v>7</v>
      </c>
      <c r="S39" s="498">
        <v>10</v>
      </c>
      <c r="T39" s="399" t="str">
        <f>T12</f>
        <v>TSV Bayer Leverkusen</v>
      </c>
      <c r="U39" s="665" t="str">
        <f>'[2]Gesamtplan Sa'!$H$43</f>
        <v>G. Wolff</v>
      </c>
      <c r="V39" s="665"/>
      <c r="W39" s="665"/>
      <c r="X39" s="400" t="str">
        <f t="shared" si="0"/>
        <v>Vorrunde Gruppe B</v>
      </c>
      <c r="Y39" s="401">
        <f t="shared" si="15"/>
        <v>40425</v>
      </c>
      <c r="Z39" s="402">
        <f t="shared" si="3"/>
        <v>0</v>
      </c>
      <c r="AA39" s="402">
        <f t="shared" si="4"/>
        <v>1</v>
      </c>
      <c r="AB39" s="402">
        <f t="shared" si="5"/>
        <v>1</v>
      </c>
      <c r="AC39" s="402">
        <f t="shared" si="6"/>
        <v>1</v>
      </c>
      <c r="AD39" s="402">
        <f t="shared" si="7"/>
        <v>0</v>
      </c>
      <c r="AE39" s="402">
        <f t="shared" si="8"/>
        <v>0</v>
      </c>
      <c r="AF39" s="275">
        <f t="shared" si="9"/>
        <v>28</v>
      </c>
      <c r="AG39" s="276" t="s">
        <v>7</v>
      </c>
      <c r="AH39" s="277">
        <f t="shared" si="10"/>
        <v>28</v>
      </c>
      <c r="AI39" s="275">
        <f t="shared" si="11"/>
        <v>2</v>
      </c>
      <c r="AJ39" s="276" t="s">
        <v>7</v>
      </c>
      <c r="AK39" s="277">
        <f t="shared" si="12"/>
        <v>1</v>
      </c>
      <c r="AL39" s="275">
        <f t="shared" si="13"/>
        <v>2</v>
      </c>
      <c r="AM39" s="276" t="s">
        <v>7</v>
      </c>
      <c r="AN39" s="277">
        <f t="shared" si="14"/>
        <v>0</v>
      </c>
    </row>
    <row r="40" spans="1:40" ht="15" customHeight="1" hidden="1">
      <c r="A40" s="28">
        <f t="shared" si="1"/>
        <v>21</v>
      </c>
      <c r="B40" s="404">
        <f>IF('Spielplan-So'!A17="","",'Spielplan-So'!A17)</f>
        <v>11</v>
      </c>
      <c r="C40" s="458">
        <f>IF('Spielplan-So'!B17="","",'Spielplan-So'!B17)</f>
        <v>0.4166666666666667</v>
      </c>
      <c r="D40" s="404">
        <f>IF('Spielplan-So'!C17="","",'Spielplan-So'!C17)</f>
        <v>21</v>
      </c>
      <c r="E40" s="404">
        <f>IF('Spielplan-So'!D17="","",'Spielplan-So'!D17)</f>
        <v>5</v>
      </c>
      <c r="F40" s="29" t="str">
        <f>IF('Spielplan-So'!E18="","",'Spielplan-So'!E18)</f>
        <v>MSV Buna Schkopau</v>
      </c>
      <c r="G40" s="29" t="str">
        <f>IF('Spielplan-So'!F18="","",'Spielplan-So'!F18)</f>
        <v>:</v>
      </c>
      <c r="H40" s="29" t="str">
        <f>IF('Spielplan-So'!G18="","",'Spielplan-So'!G18)</f>
        <v>VfB Stuttgart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9</v>
      </c>
      <c r="N40" s="29"/>
      <c r="O40" s="29"/>
      <c r="P40" s="29"/>
      <c r="Q40" s="29"/>
      <c r="R40" s="29"/>
      <c r="S40" s="29"/>
      <c r="T40" s="29" t="str">
        <f>IF('Spielplan-So'!S18="","",'Spielplan-So'!S18)</f>
        <v>TV Dinglingen</v>
      </c>
      <c r="U40" s="29" t="str">
        <f>IF('Spielplan-So'!T18="","",'Spielplan-So'!T18)</f>
        <v>HP Brosig</v>
      </c>
      <c r="V40" s="29"/>
      <c r="W40" s="29"/>
      <c r="X40" s="29" t="str">
        <f>IF('Spielplan-So'!W18="","",'Spielplan-So'!W18)</f>
        <v>Platzierung</v>
      </c>
      <c r="Y40" s="405">
        <f>'Spielplan-So'!X17</f>
        <v>40426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ht="15" customHeight="1" hidden="1">
      <c r="A41" s="28">
        <f t="shared" si="1"/>
        <v>22</v>
      </c>
      <c r="B41" s="404">
        <f>IF('Spielplan-So'!A19="","",'Spielplan-So'!A19)</f>
        <v>11</v>
      </c>
      <c r="C41" s="458">
        <f>IF('Spielplan-So'!B19="","",'Spielplan-So'!B19)</f>
        <v>0.4166666666666667</v>
      </c>
      <c r="D41" s="404">
        <f>IF('Spielplan-So'!C19="","",'Spielplan-So'!C19)</f>
        <v>22</v>
      </c>
      <c r="E41" s="404">
        <f>IF('Spielplan-So'!D19="","",'Spielplan-So'!D19)</f>
        <v>6</v>
      </c>
      <c r="F41" s="29" t="str">
        <f>IF('Spielplan-So'!E20="","",'Spielplan-So'!E20)</f>
        <v>SG Stern Kaulsdorf</v>
      </c>
      <c r="G41" s="29" t="str">
        <f>IF('Spielplan-So'!F20="","",'Spielplan-So'!F20)</f>
        <v>:</v>
      </c>
      <c r="H41" s="29" t="str">
        <f>IF('Spielplan-So'!G20="","",'Spielplan-So'!G20)</f>
        <v>TV GH Brettorf</v>
      </c>
      <c r="I41" s="29"/>
      <c r="J41" s="29"/>
      <c r="K41" s="29">
        <f>IF('Spielplan-So'!J20="","",'Spielplan-So'!J20)</f>
        <v>7</v>
      </c>
      <c r="L41" s="29" t="str">
        <f>IF('Spielplan-So'!K20="","",'Spielplan-So'!K20)</f>
        <v>:</v>
      </c>
      <c r="M41" s="29">
        <f>IF('Spielplan-So'!L20="","",'Spielplan-So'!L20)</f>
        <v>11</v>
      </c>
      <c r="N41" s="29"/>
      <c r="O41" s="29"/>
      <c r="P41" s="29"/>
      <c r="Q41" s="29"/>
      <c r="R41" s="29"/>
      <c r="S41" s="29"/>
      <c r="T41" s="29" t="str">
        <f>IF('Spielplan-So'!S20="","",'Spielplan-So'!S20)</f>
        <v>TV Wünschmichelbach</v>
      </c>
      <c r="U41" s="29" t="str">
        <f>IF('Spielplan-So'!T20="","",'Spielplan-So'!T20)</f>
        <v>A. Breithaupt</v>
      </c>
      <c r="V41" s="29"/>
      <c r="W41" s="29"/>
      <c r="X41" s="29" t="str">
        <f>IF('Spielplan-So'!W20="","",'Spielplan-So'!W20)</f>
        <v>Platzierung</v>
      </c>
      <c r="Y41" s="405">
        <f>'Spielplan-So'!X18</f>
        <v>40426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ht="15" customHeight="1" hidden="1">
      <c r="A42" s="28">
        <f t="shared" si="1"/>
        <v>23</v>
      </c>
      <c r="B42" s="404">
        <f>IF('Spielplan-So'!A21="","",'Spielplan-So'!A21)</f>
        <v>12</v>
      </c>
      <c r="C42" s="458">
        <f>IF('Spielplan-So'!B21="","",'Spielplan-So'!B21)</f>
        <v>0.4444444444444444</v>
      </c>
      <c r="D42" s="404">
        <f>IF('Spielplan-So'!C21="","",'Spielplan-So'!C21)</f>
        <v>23</v>
      </c>
      <c r="E42" s="404">
        <f>IF('Spielplan-So'!D21="","",'Spielplan-So'!D21)</f>
        <v>5</v>
      </c>
      <c r="F42" s="29" t="str">
        <f>IF('Spielplan-So'!E22="","",'Spielplan-So'!E22)</f>
        <v>TSV Bayer Leverkusen</v>
      </c>
      <c r="G42" s="29" t="str">
        <f>IF('Spielplan-So'!F22="","",'Spielplan-So'!F22)</f>
        <v>:</v>
      </c>
      <c r="H42" s="29" t="str">
        <f>IF('Spielplan-So'!G22="","",'Spielplan-So'!G22)</f>
        <v>TV Dinglingen</v>
      </c>
      <c r="I42" s="29"/>
      <c r="J42" s="29"/>
      <c r="K42" s="29">
        <f>IF('Spielplan-So'!J22="","",'Spielplan-So'!J22)</f>
        <v>11</v>
      </c>
      <c r="L42" s="29" t="str">
        <f>IF('Spielplan-So'!K22="","",'Spielplan-So'!K22)</f>
        <v>:</v>
      </c>
      <c r="M42" s="29">
        <f>IF('Spielplan-So'!L22="","",'Spielplan-So'!L22)</f>
        <v>6</v>
      </c>
      <c r="N42" s="29"/>
      <c r="O42" s="29"/>
      <c r="P42" s="29"/>
      <c r="Q42" s="29"/>
      <c r="R42" s="29"/>
      <c r="S42" s="29"/>
      <c r="T42" s="29" t="str">
        <f>IF('Spielplan-So'!S22="","",'Spielplan-So'!S22)</f>
        <v>ETV  Hamburg</v>
      </c>
      <c r="U42" s="29" t="str">
        <f>IF('Spielplan-So'!T22="","",'Spielplan-So'!T22)</f>
        <v>V. Reich</v>
      </c>
      <c r="V42" s="29"/>
      <c r="W42" s="29"/>
      <c r="X42" s="29" t="str">
        <f>IF('Spielplan-So'!W22="","",'Spielplan-So'!W22)</f>
        <v>Qualifikation</v>
      </c>
      <c r="Y42" s="405">
        <f>'Spielplan-So'!X19</f>
        <v>40426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5" customHeight="1" hidden="1">
      <c r="A43" s="28">
        <f t="shared" si="1"/>
        <v>24</v>
      </c>
      <c r="B43" s="404">
        <f>IF('Spielplan-So'!A23="","",'Spielplan-So'!A23)</f>
        <v>12</v>
      </c>
      <c r="C43" s="458">
        <f>IF('Spielplan-So'!B23="","",'Spielplan-So'!B23)</f>
        <v>0.4444444444444444</v>
      </c>
      <c r="D43" s="404">
        <f>IF('Spielplan-So'!C23="","",'Spielplan-So'!C23)</f>
        <v>24</v>
      </c>
      <c r="E43" s="404">
        <f>IF('Spielplan-So'!D23="","",'Spielplan-So'!D23)</f>
        <v>6</v>
      </c>
      <c r="F43" s="29" t="str">
        <f>IF('Spielplan-So'!E24="","",'Spielplan-So'!E24)</f>
        <v>TV Segnitz</v>
      </c>
      <c r="G43" s="29" t="str">
        <f>IF('Spielplan-So'!F24="","",'Spielplan-So'!F24)</f>
        <v>:</v>
      </c>
      <c r="H43" s="29" t="str">
        <f>IF('Spielplan-So'!G24="","",'Spielplan-So'!G24)</f>
        <v>TV Wünschmichelbach</v>
      </c>
      <c r="I43" s="29"/>
      <c r="J43" s="29"/>
      <c r="K43" s="29">
        <f>IF('Spielplan-So'!J24="","",'Spielplan-So'!J24)</f>
        <v>11</v>
      </c>
      <c r="L43" s="29" t="str">
        <f>IF('Spielplan-So'!K24="","",'Spielplan-So'!K24)</f>
        <v>:</v>
      </c>
      <c r="M43" s="29">
        <f>IF('Spielplan-So'!L24="","",'Spielplan-So'!L24)</f>
        <v>7</v>
      </c>
      <c r="N43" s="29"/>
      <c r="O43" s="29"/>
      <c r="P43" s="29"/>
      <c r="Q43" s="29"/>
      <c r="R43" s="29"/>
      <c r="S43" s="29"/>
      <c r="T43" s="29" t="str">
        <f>IF('Spielplan-So'!S24="","",'Spielplan-So'!S24)</f>
        <v>TV Klarenthal</v>
      </c>
      <c r="U43" s="29" t="str">
        <f>IF('Spielplan-So'!T24="","",'Spielplan-So'!T24)</f>
        <v>R. Happersberger</v>
      </c>
      <c r="V43" s="29"/>
      <c r="W43" s="29"/>
      <c r="X43" s="29" t="str">
        <f>IF('Spielplan-So'!W24="","",'Spielplan-So'!W24)</f>
        <v>Qualifikation</v>
      </c>
      <c r="Y43" s="405">
        <f>'Spielplan-So'!X20</f>
        <v>40426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5" customHeight="1" hidden="1">
      <c r="A44" s="28">
        <f t="shared" si="1"/>
        <v>25</v>
      </c>
      <c r="B44" s="404">
        <f>IF('Spielplan-So'!A25="","",'Spielplan-So'!A25)</f>
        <v>13</v>
      </c>
      <c r="C44" s="458">
        <f>IF('Spielplan-So'!B25="","",'Spielplan-So'!B25)</f>
        <v>0.47222222222222227</v>
      </c>
      <c r="D44" s="404">
        <f>IF('Spielplan-So'!C25="","",'Spielplan-So'!C25)</f>
        <v>25</v>
      </c>
      <c r="E44" s="404">
        <f>IF('Spielplan-So'!D25="","",'Spielplan-So'!D25)</f>
        <v>5</v>
      </c>
      <c r="F44" s="29" t="str">
        <f>IF('Spielplan-So'!E26="","",'Spielplan-So'!E26)</f>
        <v>MSV Buna Schkopau</v>
      </c>
      <c r="G44" s="29" t="str">
        <f>IF('Spielplan-So'!F26="","",'Spielplan-So'!F26)</f>
        <v>:</v>
      </c>
      <c r="H44" s="29" t="str">
        <f>IF('Spielplan-So'!G26="","",'Spielplan-So'!G26)</f>
        <v>SG Stern Kaulsdorf</v>
      </c>
      <c r="I44" s="29"/>
      <c r="J44" s="29"/>
      <c r="K44" s="29">
        <f>IF('Spielplan-So'!J26="","",'Spielplan-So'!J26)</f>
        <v>11</v>
      </c>
      <c r="L44" s="29" t="str">
        <f>IF('Spielplan-So'!K26="","",'Spielplan-So'!K26)</f>
        <v>:</v>
      </c>
      <c r="M44" s="29">
        <f>IF('Spielplan-So'!L26="","",'Spielplan-So'!L26)</f>
        <v>9</v>
      </c>
      <c r="N44" s="29"/>
      <c r="O44" s="29"/>
      <c r="P44" s="29"/>
      <c r="Q44" s="29"/>
      <c r="R44" s="29"/>
      <c r="S44" s="29"/>
      <c r="T44" s="29" t="str">
        <f>IF('Spielplan-So'!S26="","",'Spielplan-So'!S26)</f>
        <v>TSV Bayer Leverkusen</v>
      </c>
      <c r="U44" s="29" t="str">
        <f>IF('Spielplan-So'!T26="","",'Spielplan-So'!T26)</f>
        <v>M. Niedermayer</v>
      </c>
      <c r="V44" s="29"/>
      <c r="W44" s="29"/>
      <c r="X44" s="29" t="str">
        <f>IF('Spielplan-So'!W26="","",'Spielplan-So'!W26)</f>
        <v>Platz 9/10</v>
      </c>
      <c r="Y44" s="405">
        <f>'Spielplan-So'!X21</f>
        <v>40426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5" customHeight="1" hidden="1">
      <c r="A45" s="28">
        <f t="shared" si="1"/>
        <v>26</v>
      </c>
      <c r="B45" s="404">
        <f>IF('Spielplan-So'!A27="","",'Spielplan-So'!A27)</f>
        <v>13</v>
      </c>
      <c r="C45" s="458">
        <f>IF('Spielplan-So'!B27="","",'Spielplan-So'!B27)</f>
        <v>0.47222222222222227</v>
      </c>
      <c r="D45" s="404">
        <f>IF('Spielplan-So'!C27="","",'Spielplan-So'!C27)</f>
        <v>26</v>
      </c>
      <c r="E45" s="404">
        <f>IF('Spielplan-So'!D27="","",'Spielplan-So'!D27)</f>
        <v>6</v>
      </c>
      <c r="F45" s="29" t="str">
        <f>IF('Spielplan-So'!E28="","",'Spielplan-So'!E28)</f>
        <v>VfB Stuttgart</v>
      </c>
      <c r="G45" s="29" t="str">
        <f>IF('Spielplan-So'!F28="","",'Spielplan-So'!F28)</f>
        <v>:</v>
      </c>
      <c r="H45" s="29" t="str">
        <f>IF('Spielplan-So'!G28="","",'Spielplan-So'!G28)</f>
        <v>TV GH Brettorf</v>
      </c>
      <c r="I45" s="29"/>
      <c r="J45" s="29"/>
      <c r="K45" s="29">
        <f>IF('Spielplan-So'!J28="","",'Spielplan-So'!J28)</f>
        <v>4</v>
      </c>
      <c r="L45" s="29" t="str">
        <f>IF('Spielplan-So'!K28="","",'Spielplan-So'!K28)</f>
        <v>:</v>
      </c>
      <c r="M45" s="29">
        <f>IF('Spielplan-So'!L28="","",'Spielplan-So'!L28)</f>
        <v>11</v>
      </c>
      <c r="N45" s="29"/>
      <c r="O45" s="29"/>
      <c r="P45" s="29"/>
      <c r="Q45" s="29"/>
      <c r="R45" s="29"/>
      <c r="S45" s="29"/>
      <c r="T45" s="29" t="str">
        <f>IF('Spielplan-So'!S28="","",'Spielplan-So'!S28)</f>
        <v>TV Segnitz</v>
      </c>
      <c r="U45" s="29" t="str">
        <f>IF('Spielplan-So'!T28="","",'Spielplan-So'!T28)</f>
        <v>G. Heyne</v>
      </c>
      <c r="V45" s="29"/>
      <c r="W45" s="29"/>
      <c r="X45" s="29" t="str">
        <f>IF('Spielplan-So'!W28="","",'Spielplan-So'!W28)</f>
        <v>Platz 7/8</v>
      </c>
      <c r="Y45" s="405">
        <f>'Spielplan-So'!X22</f>
        <v>40426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5" customHeight="1" hidden="1">
      <c r="A46" s="28">
        <f t="shared" si="1"/>
        <v>27</v>
      </c>
      <c r="B46" s="404">
        <f>IF('Spielplan-So'!A29="","",'Spielplan-So'!A29)</f>
        <v>14</v>
      </c>
      <c r="C46" s="458">
        <f>IF('Spielplan-So'!B29="","",'Spielplan-So'!B29)</f>
        <v>0.5</v>
      </c>
      <c r="D46" s="404">
        <f>IF('Spielplan-So'!C29="","",'Spielplan-So'!C29)</f>
        <v>27</v>
      </c>
      <c r="E46" s="404">
        <f>IF('Spielplan-So'!D29="","",'Spielplan-So'!D29)</f>
        <v>5</v>
      </c>
      <c r="F46" s="29" t="str">
        <f>IF('Spielplan-So'!E30="","",'Spielplan-So'!E30)</f>
        <v>ETV  Hamburg</v>
      </c>
      <c r="G46" s="29" t="str">
        <f>IF('Spielplan-So'!F30="","",'Spielplan-So'!F30)</f>
        <v>:</v>
      </c>
      <c r="H46" s="29" t="str">
        <f>IF('Spielplan-So'!G30="","",'Spielplan-So'!G30)</f>
        <v>TSV Bayer Leverkusen</v>
      </c>
      <c r="I46" s="29"/>
      <c r="J46" s="29"/>
      <c r="K46" s="29">
        <f>IF('Spielplan-So'!J30="","",'Spielplan-So'!J30)</f>
        <v>11</v>
      </c>
      <c r="L46" s="29" t="str">
        <f>IF('Spielplan-So'!K30="","",'Spielplan-So'!K30)</f>
        <v>:</v>
      </c>
      <c r="M46" s="29">
        <f>IF('Spielplan-So'!L30="","",'Spielplan-So'!L30)</f>
        <v>6</v>
      </c>
      <c r="N46" s="29"/>
      <c r="O46" s="29"/>
      <c r="P46" s="29"/>
      <c r="Q46" s="29"/>
      <c r="R46" s="29"/>
      <c r="S46" s="29"/>
      <c r="T46" s="29" t="str">
        <f>IF('Spielplan-So'!S30="","",'Spielplan-So'!S30)</f>
        <v>TSV Wiesental</v>
      </c>
      <c r="U46" s="29" t="str">
        <f>IF('Spielplan-So'!T30="","",'Spielplan-So'!T30)</f>
        <v>R. Happersberger</v>
      </c>
      <c r="V46" s="29"/>
      <c r="W46" s="29"/>
      <c r="X46" s="29" t="str">
        <f>IF('Spielplan-So'!W30="","",'Spielplan-So'!W30)</f>
        <v>Halbfinale</v>
      </c>
      <c r="Y46" s="405">
        <f>'Spielplan-So'!X23</f>
        <v>40426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40" ht="15" customHeight="1" hidden="1">
      <c r="A47" s="28">
        <f t="shared" si="1"/>
        <v>28</v>
      </c>
      <c r="B47" s="404">
        <f>IF('Spielplan-So'!A31="","",'Spielplan-So'!A31)</f>
      </c>
      <c r="C47" s="458">
        <f>IF('Spielplan-So'!B31="","",'Spielplan-So'!B31)</f>
      </c>
      <c r="D47" s="404">
        <f>IF('Spielplan-So'!C31="","",'Spielplan-So'!C31)</f>
        <v>28</v>
      </c>
      <c r="E47" s="404">
        <f>IF('Spielplan-So'!D31="","",'Spielplan-So'!D31)</f>
        <v>6</v>
      </c>
      <c r="F47" s="29" t="str">
        <f>IF('Spielplan-So'!E32="","",'Spielplan-So'!E32)</f>
        <v>TV Klarenthal</v>
      </c>
      <c r="G47" s="29" t="str">
        <f>IF('Spielplan-So'!F32="","",'Spielplan-So'!F32)</f>
        <v>:</v>
      </c>
      <c r="H47" s="29" t="str">
        <f>IF('Spielplan-So'!G32="","",'Spielplan-So'!G32)</f>
        <v>TV Segnitz</v>
      </c>
      <c r="I47" s="29"/>
      <c r="J47" s="29"/>
      <c r="K47" s="29">
        <f>IF('Spielplan-So'!J32="","",'Spielplan-So'!J32)</f>
        <v>11</v>
      </c>
      <c r="L47" s="29" t="str">
        <f>IF('Spielplan-So'!K32="","",'Spielplan-So'!K32)</f>
        <v>:</v>
      </c>
      <c r="M47" s="29">
        <f>IF('Spielplan-So'!L32="","",'Spielplan-So'!L32)</f>
        <v>2</v>
      </c>
      <c r="N47" s="29"/>
      <c r="O47" s="29"/>
      <c r="P47" s="29"/>
      <c r="Q47" s="29"/>
      <c r="R47" s="29"/>
      <c r="S47" s="29"/>
      <c r="T47" s="29" t="str">
        <f>IF('Spielplan-So'!S32="","",'Spielplan-So'!S32)</f>
        <v>TSV Wiesental</v>
      </c>
      <c r="U47" s="29" t="str">
        <f>IF('Spielplan-So'!T32="","",'Spielplan-So'!T32)</f>
        <v>HP Brosig</v>
      </c>
      <c r="V47" s="29"/>
      <c r="W47" s="29"/>
      <c r="X47" s="29" t="str">
        <f>IF('Spielplan-So'!W32="","",'Spielplan-So'!W32)</f>
        <v>Halbfinale</v>
      </c>
      <c r="Y47" s="405">
        <f>'Spielplan-So'!X24</f>
        <v>40426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5" customHeight="1" hidden="1">
      <c r="A48" s="28">
        <f t="shared" si="1"/>
        <v>29</v>
      </c>
      <c r="B48" s="404">
        <f>IF('Spielplan-So'!A33="","",'Spielplan-So'!A33)</f>
        <v>15</v>
      </c>
      <c r="C48" s="458">
        <f>IF('Spielplan-So'!B33="","",'Spielplan-So'!B33)</f>
        <v>0.5277777777777778</v>
      </c>
      <c r="D48" s="404">
        <f>IF('Spielplan-So'!C33="","",'Spielplan-So'!C33)</f>
        <v>29</v>
      </c>
      <c r="E48" s="404">
        <f>IF('Spielplan-So'!D33="","",'Spielplan-So'!D33)</f>
        <v>2</v>
      </c>
      <c r="F48" s="29" t="str">
        <f>IF('Spielplan-So'!E34="","",'Spielplan-So'!E34)</f>
        <v>TV Dinglingen</v>
      </c>
      <c r="G48" s="29" t="str">
        <f>IF('Spielplan-So'!F34="","",'Spielplan-So'!F34)</f>
        <v>:</v>
      </c>
      <c r="H48" s="29" t="str">
        <f>IF('Spielplan-So'!G34="","",'Spielplan-So'!G34)</f>
        <v>TV Wünschmichelbach</v>
      </c>
      <c r="I48" s="29"/>
      <c r="J48" s="29"/>
      <c r="K48" s="29">
        <f>IF('Spielplan-So'!J34="","",'Spielplan-So'!J34)</f>
        <v>11</v>
      </c>
      <c r="L48" s="29" t="str">
        <f>IF('Spielplan-So'!K34="","",'Spielplan-So'!K34)</f>
        <v>:</v>
      </c>
      <c r="M48" s="29">
        <f>IF('Spielplan-So'!L34="","",'Spielplan-So'!L34)</f>
        <v>6</v>
      </c>
      <c r="N48" s="29"/>
      <c r="O48" s="29"/>
      <c r="P48" s="29"/>
      <c r="Q48" s="29"/>
      <c r="R48" s="29"/>
      <c r="S48" s="29"/>
      <c r="T48" s="29" t="str">
        <f>IF('Spielplan-So'!S34="","",'Spielplan-So'!S34)</f>
        <v>TSV Wiesental</v>
      </c>
      <c r="U48" s="29" t="str">
        <f>IF('Spielplan-So'!T34="","",'Spielplan-So'!T34)</f>
        <v>M. Niedermayer</v>
      </c>
      <c r="V48" s="29"/>
      <c r="W48" s="29"/>
      <c r="X48" s="29" t="str">
        <f>IF('Spielplan-So'!W34="","",'Spielplan-So'!W34)</f>
        <v>Platz 5/6</v>
      </c>
      <c r="Y48" s="405">
        <f>'Spielplan-So'!X25</f>
        <v>40426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5" customHeight="1" hidden="1">
      <c r="A49" s="28">
        <f t="shared" si="1"/>
        <v>30</v>
      </c>
      <c r="B49" s="404">
        <f>IF('Spielplan-So'!A35="","",'Spielplan-So'!A35)</f>
        <v>16</v>
      </c>
      <c r="C49" s="458">
        <f>IF('Spielplan-So'!B35="","",'Spielplan-So'!B35)</f>
        <v>0.5555555555555556</v>
      </c>
      <c r="D49" s="404">
        <f>IF('Spielplan-So'!C35="","",'Spielplan-So'!C35)</f>
        <v>30</v>
      </c>
      <c r="E49" s="404">
        <f>IF('Spielplan-So'!D35="","",'Spielplan-So'!D35)</f>
        <v>2</v>
      </c>
      <c r="F49" s="29" t="str">
        <f>IF('Spielplan-So'!E36="","",'Spielplan-So'!E36)</f>
        <v>TSV Bayer Leverkusen</v>
      </c>
      <c r="G49" s="29" t="str">
        <f>IF('Spielplan-So'!F36="","",'Spielplan-So'!F36)</f>
        <v>:</v>
      </c>
      <c r="H49" s="29" t="str">
        <f>IF('Spielplan-So'!G36="","",'Spielplan-So'!G36)</f>
        <v>TV Segnitz</v>
      </c>
      <c r="I49" s="29"/>
      <c r="J49" s="29"/>
      <c r="K49" s="29">
        <f>IF('Spielplan-So'!J36="","",'Spielplan-So'!J36)</f>
        <v>11</v>
      </c>
      <c r="L49" s="29" t="str">
        <f>IF('Spielplan-So'!K36="","",'Spielplan-So'!K36)</f>
        <v>:</v>
      </c>
      <c r="M49" s="29">
        <f>IF('Spielplan-So'!L36="","",'Spielplan-So'!L36)</f>
        <v>3</v>
      </c>
      <c r="N49" s="29"/>
      <c r="O49" s="29"/>
      <c r="P49" s="29"/>
      <c r="Q49" s="29"/>
      <c r="R49" s="29"/>
      <c r="S49" s="29"/>
      <c r="T49" s="29" t="str">
        <f>IF('Spielplan-So'!S36="","",'Spielplan-So'!S36)</f>
        <v>St. Lutz</v>
      </c>
      <c r="U49" s="29" t="str">
        <f>IF('Spielplan-So'!T36="","",'Spielplan-So'!T36)</f>
        <v>R. Happersberger</v>
      </c>
      <c r="V49" s="29"/>
      <c r="W49" s="29"/>
      <c r="X49" s="29" t="str">
        <f>IF('Spielplan-So'!W36="","",'Spielplan-So'!W36)</f>
        <v>Platz 3/4</v>
      </c>
      <c r="Y49" s="405">
        <f>'Spielplan-So'!X26</f>
        <v>40426</v>
      </c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</row>
    <row r="50" spans="1:40" s="407" customFormat="1" ht="15" customHeight="1" hidden="1">
      <c r="A50" s="28">
        <f t="shared" si="1"/>
        <v>31</v>
      </c>
      <c r="B50" s="404">
        <f>IF('Spielplan-So'!A37="","",'Spielplan-So'!A37)</f>
        <v>17</v>
      </c>
      <c r="C50" s="458">
        <f>IF('Spielplan-So'!B37="","",'Spielplan-So'!B37)</f>
        <v>0.5833333333333334</v>
      </c>
      <c r="D50" s="404">
        <f>IF('Spielplan-So'!C37="","",'Spielplan-So'!C37)</f>
        <v>31</v>
      </c>
      <c r="E50" s="404">
        <f>IF('Spielplan-So'!D37="","",'Spielplan-So'!D37)</f>
        <v>1</v>
      </c>
      <c r="F50" s="29" t="str">
        <f>IF('Spielplan-So'!E38="","",'Spielplan-So'!E38)</f>
        <v>ETV  Hamburg</v>
      </c>
      <c r="G50" s="29" t="str">
        <f>IF('Spielplan-So'!F38="","",'Spielplan-So'!F38)</f>
        <v>:</v>
      </c>
      <c r="H50" s="29" t="str">
        <f>IF('Spielplan-So'!G38="","",'Spielplan-So'!G38)</f>
        <v>TV Klarenthal</v>
      </c>
      <c r="I50" s="29"/>
      <c r="J50" s="29"/>
      <c r="K50" s="29">
        <f>IF('Spielplan-So'!J38="","",'Spielplan-So'!J38)</f>
        <v>11</v>
      </c>
      <c r="L50" s="29" t="str">
        <f>IF('Spielplan-So'!K38="","",'Spielplan-So'!K38)</f>
        <v>:</v>
      </c>
      <c r="M50" s="29">
        <f>IF('Spielplan-So'!L38="","",'Spielplan-So'!L38)</f>
        <v>3</v>
      </c>
      <c r="N50" s="29"/>
      <c r="O50" s="29"/>
      <c r="P50" s="29"/>
      <c r="Q50" s="29"/>
      <c r="R50" s="29"/>
      <c r="S50" s="29"/>
      <c r="T50" s="29" t="str">
        <f>IF('Spielplan-So'!S38="","",'Spielplan-So'!S38)</f>
        <v>A. Breithaupt</v>
      </c>
      <c r="U50" s="29" t="str">
        <f>IF('Spielplan-So'!T38="","",'Spielplan-So'!T38)</f>
        <v>HP Brosig</v>
      </c>
      <c r="V50" s="29"/>
      <c r="W50" s="29"/>
      <c r="X50" s="29" t="str">
        <f>IF('Spielplan-So'!W38="","",'Spielplan-So'!W38)</f>
        <v>Finale</v>
      </c>
      <c r="Y50" s="405">
        <f>'Spielplan-So'!X27</f>
        <v>40426</v>
      </c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s="407" customFormat="1" ht="15" customHeight="1" hidden="1">
      <c r="A51" s="28">
        <v>32</v>
      </c>
      <c r="B51" s="13"/>
      <c r="C51" s="13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116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s="407" customFormat="1" ht="15" customHeight="1" hidden="1">
      <c r="A52" s="28">
        <v>33</v>
      </c>
      <c r="B52" s="13"/>
      <c r="C52" s="13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117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s="407" customFormat="1" ht="15" customHeight="1" hidden="1">
      <c r="A53" s="28">
        <v>34</v>
      </c>
      <c r="B53" s="13"/>
      <c r="C53" s="13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4" spans="1:40" s="407" customFormat="1" ht="15" customHeight="1" hidden="1">
      <c r="A54" s="28">
        <v>35</v>
      </c>
      <c r="B54" s="13"/>
      <c r="C54" s="13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</row>
    <row r="55" spans="1:40" s="407" customFormat="1" ht="15" customHeight="1" hidden="1">
      <c r="A55" s="28">
        <v>26</v>
      </c>
      <c r="B55" s="13"/>
      <c r="C55" s="13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</row>
    <row r="56" spans="1:40" s="407" customFormat="1" ht="15" customHeight="1" hidden="1">
      <c r="A56" s="28">
        <v>37</v>
      </c>
      <c r="B56" s="13"/>
      <c r="C56" s="13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  <row r="57" spans="5:30" ht="15.75">
      <c r="E57" s="55"/>
      <c r="F57" s="680">
        <f>I10</f>
      </c>
      <c r="G57" s="680"/>
      <c r="H57" s="680"/>
      <c r="I57" s="680"/>
      <c r="J57" s="680"/>
      <c r="K57" s="13"/>
      <c r="L57" s="13"/>
      <c r="M57" s="13"/>
      <c r="N57" s="13"/>
      <c r="O57" s="13"/>
      <c r="P57" s="13"/>
      <c r="S57" s="407"/>
      <c r="T57" s="680">
        <f>I13</f>
      </c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</row>
    <row r="58" spans="5:30" ht="15.75">
      <c r="E58" s="55"/>
      <c r="F58" s="680">
        <f>I11</f>
      </c>
      <c r="G58" s="680"/>
      <c r="H58" s="680"/>
      <c r="I58" s="680"/>
      <c r="J58" s="680"/>
      <c r="S58" s="407"/>
      <c r="T58" s="680">
        <f>I14</f>
      </c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</row>
  </sheetData>
  <sheetProtection sheet="1" objects="1" scenarios="1" selectLockedCells="1"/>
  <mergeCells count="82">
    <mergeCell ref="U37:W37"/>
    <mergeCell ref="U39:W39"/>
    <mergeCell ref="F58:J58"/>
    <mergeCell ref="H39:J39"/>
    <mergeCell ref="T57:AD57"/>
    <mergeCell ref="T58:AD58"/>
    <mergeCell ref="U25:W25"/>
    <mergeCell ref="U27:W27"/>
    <mergeCell ref="H26:J26"/>
    <mergeCell ref="F57:J57"/>
    <mergeCell ref="U36:W36"/>
    <mergeCell ref="H37:J37"/>
    <mergeCell ref="H38:J38"/>
    <mergeCell ref="U28:W28"/>
    <mergeCell ref="U29:W29"/>
    <mergeCell ref="H29:J29"/>
    <mergeCell ref="H28:J28"/>
    <mergeCell ref="H36:J36"/>
    <mergeCell ref="U38:W38"/>
    <mergeCell ref="U30:W30"/>
    <mergeCell ref="U32:W32"/>
    <mergeCell ref="H32:J32"/>
    <mergeCell ref="H31:J31"/>
    <mergeCell ref="H30:J30"/>
    <mergeCell ref="H33:J33"/>
    <mergeCell ref="U33:W33"/>
    <mergeCell ref="H35:J35"/>
    <mergeCell ref="U34:W34"/>
    <mergeCell ref="U35:W35"/>
    <mergeCell ref="I10:S10"/>
    <mergeCell ref="I11:S11"/>
    <mergeCell ref="I13:S13"/>
    <mergeCell ref="I14:S14"/>
    <mergeCell ref="U26:W26"/>
    <mergeCell ref="U21:W21"/>
    <mergeCell ref="H34:J34"/>
    <mergeCell ref="B4:W4"/>
    <mergeCell ref="B5:J5"/>
    <mergeCell ref="B17:B18"/>
    <mergeCell ref="H7:J7"/>
    <mergeCell ref="K7:T7"/>
    <mergeCell ref="T9:V9"/>
    <mergeCell ref="F9:H9"/>
    <mergeCell ref="J9:R9"/>
    <mergeCell ref="I12:S12"/>
    <mergeCell ref="U31:W31"/>
    <mergeCell ref="H25:J25"/>
    <mergeCell ref="D17:D18"/>
    <mergeCell ref="E17:E18"/>
    <mergeCell ref="F17:F18"/>
    <mergeCell ref="H17:J18"/>
    <mergeCell ref="H21:J21"/>
    <mergeCell ref="U22:W22"/>
    <mergeCell ref="U23:W23"/>
    <mergeCell ref="H22:J22"/>
    <mergeCell ref="H27:J27"/>
    <mergeCell ref="E1:T1"/>
    <mergeCell ref="K5:W5"/>
    <mergeCell ref="K17:S17"/>
    <mergeCell ref="U17:W18"/>
    <mergeCell ref="B15:W15"/>
    <mergeCell ref="K18:M18"/>
    <mergeCell ref="Q18:S18"/>
    <mergeCell ref="F3:U3"/>
    <mergeCell ref="H20:J20"/>
    <mergeCell ref="U24:W24"/>
    <mergeCell ref="AF17:AH18"/>
    <mergeCell ref="C17:C18"/>
    <mergeCell ref="H24:J24"/>
    <mergeCell ref="AE17:AE18"/>
    <mergeCell ref="U20:W20"/>
    <mergeCell ref="H23:J23"/>
    <mergeCell ref="D19:W19"/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</mergeCells>
  <conditionalFormatting sqref="T57:AD58 F57:J58 B15 I10:S11 I13:S14">
    <cfRule type="cellIs" priority="1" dxfId="27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M55"/>
  <sheetViews>
    <sheetView tabSelected="1" zoomScalePageLayoutView="0" workbookViewId="0" topLeftCell="A9">
      <selection activeCell="P18" sqref="P18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15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53" hidden="1" customWidth="1"/>
    <col min="31" max="31" width="5.7109375" style="53" customWidth="1"/>
    <col min="32" max="32" width="1.7109375" style="53" customWidth="1"/>
    <col min="33" max="34" width="5.7109375" style="53" customWidth="1"/>
    <col min="35" max="35" width="1.7109375" style="53" customWidth="1"/>
    <col min="36" max="37" width="5.7109375" style="53" customWidth="1"/>
    <col min="38" max="38" width="1.7109375" style="53" customWidth="1"/>
    <col min="39" max="39" width="5.7109375" style="53" customWidth="1"/>
    <col min="40" max="16384" width="11.421875" style="13" customWidth="1"/>
  </cols>
  <sheetData>
    <row r="1" spans="4:39" s="230" customFormat="1" ht="30" customHeight="1">
      <c r="D1" s="618" t="s">
        <v>129</v>
      </c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</row>
    <row r="2" spans="3:39" s="230" customFormat="1" ht="26.25" customHeight="1">
      <c r="C2" s="460"/>
      <c r="D2" s="613" t="str">
        <f>IF(Mannschaften!D2="","",Mannschaften!D2)</f>
        <v>Deutsche Meisterschaft der Senioren  Feld   2010</v>
      </c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1:39" s="281" customFormat="1" ht="26.25" customHeight="1">
      <c r="A3" s="668" t="str">
        <f>IF(Mannschaften!F4="","",Mannschaften!F4)</f>
        <v>Waghäusel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</row>
    <row r="4" spans="1:39" s="281" customFormat="1" ht="19.5" customHeight="1">
      <c r="A4" s="614" t="str">
        <f>Mannschaften!A5</f>
        <v>Ausrichter:     </v>
      </c>
      <c r="B4" s="614"/>
      <c r="C4" s="614"/>
      <c r="D4" s="614"/>
      <c r="E4" s="614"/>
      <c r="F4" s="614"/>
      <c r="G4" s="614"/>
      <c r="H4" s="614"/>
      <c r="I4" s="614"/>
      <c r="J4" s="659" t="str">
        <f>IF(Mannschaften!I5="","",Mannschaften!I5)</f>
        <v>TSV Wiesental</v>
      </c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</row>
    <row r="5" spans="1:39" s="281" customFormat="1" ht="6" customHeight="1">
      <c r="A5" s="461"/>
      <c r="B5" s="461"/>
      <c r="C5" s="462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</row>
    <row r="6" spans="1:39" s="230" customFormat="1" ht="16.5" customHeight="1">
      <c r="A6" s="281"/>
      <c r="B6" s="281"/>
      <c r="C6" s="463"/>
      <c r="D6" s="281"/>
      <c r="E6" s="281"/>
      <c r="F6" s="281"/>
      <c r="G6" s="669" t="s">
        <v>82</v>
      </c>
      <c r="H6" s="669"/>
      <c r="I6" s="669"/>
      <c r="J6" s="745">
        <f>Mannschaften!M4</f>
        <v>40426</v>
      </c>
      <c r="K6" s="745"/>
      <c r="L6" s="745"/>
      <c r="M6" s="745"/>
      <c r="N6" s="745"/>
      <c r="O6" s="745"/>
      <c r="P6" s="745"/>
      <c r="Q6" s="745"/>
      <c r="R6" s="745"/>
      <c r="S6" s="281"/>
      <c r="T6" s="281"/>
      <c r="U6" s="281"/>
      <c r="V6" s="281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</row>
    <row r="7" spans="1:39" s="230" customFormat="1" ht="8.25" customHeight="1" thickBot="1">
      <c r="A7" s="281"/>
      <c r="B7" s="281"/>
      <c r="C7" s="463"/>
      <c r="D7" s="281"/>
      <c r="E7" s="281"/>
      <c r="F7" s="281"/>
      <c r="G7" s="461"/>
      <c r="H7" s="461"/>
      <c r="I7" s="461"/>
      <c r="J7" s="464"/>
      <c r="K7" s="464"/>
      <c r="L7" s="464"/>
      <c r="M7" s="464"/>
      <c r="N7" s="464"/>
      <c r="O7" s="464"/>
      <c r="P7" s="464"/>
      <c r="Q7" s="464"/>
      <c r="R7" s="464"/>
      <c r="S7" s="281"/>
      <c r="T7" s="281"/>
      <c r="U7" s="281"/>
      <c r="V7" s="281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</row>
    <row r="8" spans="1:39" s="230" customFormat="1" ht="15.75" customHeight="1" thickBot="1">
      <c r="A8" s="278"/>
      <c r="B8" s="278"/>
      <c r="C8" s="279"/>
      <c r="D8" s="598" t="s">
        <v>5</v>
      </c>
      <c r="E8" s="600"/>
      <c r="F8" s="465"/>
      <c r="G8" s="466"/>
      <c r="H8" s="669" t="str">
        <f>Mannschaften!H3</f>
        <v>M 45</v>
      </c>
      <c r="I8" s="669"/>
      <c r="J8" s="669"/>
      <c r="K8" s="669"/>
      <c r="L8" s="669"/>
      <c r="M8" s="669"/>
      <c r="N8" s="669"/>
      <c r="O8" s="466"/>
      <c r="P8" s="466"/>
      <c r="Q8" s="466"/>
      <c r="R8" s="598" t="s">
        <v>6</v>
      </c>
      <c r="S8" s="600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</row>
    <row r="9" spans="1:39" s="230" customFormat="1" ht="15.75" customHeight="1">
      <c r="A9" s="278"/>
      <c r="B9" s="278"/>
      <c r="C9" s="279"/>
      <c r="D9" s="467" t="s">
        <v>41</v>
      </c>
      <c r="E9" s="468" t="str">
        <f>'Gruppe A'!J31</f>
        <v>ETV  Hamburg</v>
      </c>
      <c r="F9" s="469"/>
      <c r="R9" s="467" t="s">
        <v>41</v>
      </c>
      <c r="S9" s="467" t="str">
        <f>'Gruppe B'!J31</f>
        <v>TV Klarenthal</v>
      </c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s="230" customFormat="1" ht="15.75" customHeight="1">
      <c r="A10" s="278"/>
      <c r="B10" s="278"/>
      <c r="C10" s="279"/>
      <c r="D10" s="470" t="s">
        <v>42</v>
      </c>
      <c r="E10" s="470" t="str">
        <f>'Gruppe A'!J32</f>
        <v>TV Segnitz</v>
      </c>
      <c r="F10" s="469"/>
      <c r="G10" s="678" t="s">
        <v>113</v>
      </c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470" t="s">
        <v>42</v>
      </c>
      <c r="S10" s="468" t="str">
        <f>'Gruppe B'!J32</f>
        <v>TSV Bayer Leverkusen</v>
      </c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s="230" customFormat="1" ht="15.75" customHeight="1">
      <c r="A11" s="278"/>
      <c r="B11" s="278"/>
      <c r="C11" s="279"/>
      <c r="D11" s="470" t="s">
        <v>43</v>
      </c>
      <c r="E11" s="470" t="str">
        <f>'Gruppe A'!J33</f>
        <v>TV Dinglingen</v>
      </c>
      <c r="F11" s="677" t="str">
        <f>'Spielplan-Sa'!I12</f>
        <v>Titelverteidiger: ETV Hamburg</v>
      </c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9"/>
      <c r="R11" s="470" t="s">
        <v>43</v>
      </c>
      <c r="S11" s="468" t="str">
        <f>'Gruppe B'!J33</f>
        <v>TV Wünschmichelbach</v>
      </c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 s="230" customFormat="1" ht="15.75" customHeight="1">
      <c r="A12" s="278"/>
      <c r="B12" s="278"/>
      <c r="C12" s="279"/>
      <c r="D12" s="470" t="s">
        <v>44</v>
      </c>
      <c r="E12" s="470" t="str">
        <f>'Gruppe A'!J34</f>
        <v>MSV Buna Schkopau</v>
      </c>
      <c r="F12" s="469"/>
      <c r="R12" s="470" t="s">
        <v>44</v>
      </c>
      <c r="S12" s="468" t="str">
        <f>'Gruppe B'!J34</f>
        <v>SG Stern Kaulsdorf</v>
      </c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 s="230" customFormat="1" ht="15.75" customHeight="1" thickBot="1">
      <c r="A13" s="278"/>
      <c r="B13" s="278"/>
      <c r="C13" s="279"/>
      <c r="D13" s="471" t="s">
        <v>45</v>
      </c>
      <c r="E13" s="471" t="str">
        <f>'Gruppe A'!J35</f>
        <v>TV GH Brettorf</v>
      </c>
      <c r="F13" s="469"/>
      <c r="R13" s="471" t="s">
        <v>45</v>
      </c>
      <c r="S13" s="472" t="str">
        <f>'Gruppe B'!J35</f>
        <v>VfB Stuttgart</v>
      </c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 s="230" customFormat="1" ht="7.5" customHeight="1" thickBot="1">
      <c r="A14" s="678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s="230" customFormat="1" ht="15" customHeight="1">
      <c r="A15" s="593" t="s">
        <v>0</v>
      </c>
      <c r="B15" s="593" t="s">
        <v>1</v>
      </c>
      <c r="C15" s="666" t="s">
        <v>147</v>
      </c>
      <c r="D15" s="593" t="s">
        <v>145</v>
      </c>
      <c r="E15" s="660" t="s">
        <v>2</v>
      </c>
      <c r="F15" s="604" t="s">
        <v>7</v>
      </c>
      <c r="G15" s="604" t="s">
        <v>3</v>
      </c>
      <c r="H15" s="604"/>
      <c r="I15" s="661"/>
      <c r="J15" s="690" t="s">
        <v>8</v>
      </c>
      <c r="K15" s="691"/>
      <c r="L15" s="691"/>
      <c r="M15" s="691"/>
      <c r="N15" s="691"/>
      <c r="O15" s="691"/>
      <c r="P15" s="691"/>
      <c r="Q15" s="691"/>
      <c r="R15" s="692"/>
      <c r="S15" s="473" t="s">
        <v>150</v>
      </c>
      <c r="T15" s="660" t="s">
        <v>78</v>
      </c>
      <c r="U15" s="604"/>
      <c r="V15" s="661"/>
      <c r="W15" s="474" t="s">
        <v>118</v>
      </c>
      <c r="X15" s="230" t="s">
        <v>119</v>
      </c>
      <c r="Y15" s="606" t="s">
        <v>162</v>
      </c>
      <c r="Z15" s="606" t="s">
        <v>163</v>
      </c>
      <c r="AA15" s="606" t="s">
        <v>164</v>
      </c>
      <c r="AB15" s="606" t="s">
        <v>165</v>
      </c>
      <c r="AC15" s="606" t="s">
        <v>166</v>
      </c>
      <c r="AD15" s="606" t="s">
        <v>167</v>
      </c>
      <c r="AE15" s="615" t="s">
        <v>36</v>
      </c>
      <c r="AF15" s="607"/>
      <c r="AG15" s="608"/>
      <c r="AH15" s="615" t="s">
        <v>140</v>
      </c>
      <c r="AI15" s="607"/>
      <c r="AJ15" s="608"/>
      <c r="AK15" s="615" t="s">
        <v>35</v>
      </c>
      <c r="AL15" s="607"/>
      <c r="AM15" s="608"/>
    </row>
    <row r="16" spans="1:39" s="230" customFormat="1" ht="15" customHeight="1" thickBot="1">
      <c r="A16" s="594"/>
      <c r="B16" s="594"/>
      <c r="C16" s="667"/>
      <c r="D16" s="594"/>
      <c r="E16" s="662"/>
      <c r="F16" s="605"/>
      <c r="G16" s="605"/>
      <c r="H16" s="605"/>
      <c r="I16" s="663"/>
      <c r="J16" s="703" t="s">
        <v>146</v>
      </c>
      <c r="K16" s="701"/>
      <c r="L16" s="701"/>
      <c r="M16" s="701" t="s">
        <v>138</v>
      </c>
      <c r="N16" s="701"/>
      <c r="O16" s="701"/>
      <c r="P16" s="701" t="s">
        <v>139</v>
      </c>
      <c r="Q16" s="701"/>
      <c r="R16" s="702"/>
      <c r="S16" s="475" t="s">
        <v>4</v>
      </c>
      <c r="T16" s="662"/>
      <c r="U16" s="605"/>
      <c r="V16" s="663"/>
      <c r="W16" s="474"/>
      <c r="Y16" s="597"/>
      <c r="Z16" s="597"/>
      <c r="AA16" s="597"/>
      <c r="AB16" s="597"/>
      <c r="AC16" s="597"/>
      <c r="AD16" s="597"/>
      <c r="AE16" s="609"/>
      <c r="AF16" s="602"/>
      <c r="AG16" s="603"/>
      <c r="AH16" s="609"/>
      <c r="AI16" s="602"/>
      <c r="AJ16" s="603"/>
      <c r="AK16" s="609"/>
      <c r="AL16" s="602"/>
      <c r="AM16" s="603"/>
    </row>
    <row r="17" spans="1:39" s="230" customFormat="1" ht="10.5" customHeight="1">
      <c r="A17" s="593">
        <v>11</v>
      </c>
      <c r="B17" s="727">
        <v>0.4166666666666667</v>
      </c>
      <c r="C17" s="593">
        <v>21</v>
      </c>
      <c r="D17" s="719">
        <v>5</v>
      </c>
      <c r="E17" s="408" t="s">
        <v>55</v>
      </c>
      <c r="F17" s="409" t="s">
        <v>7</v>
      </c>
      <c r="G17" s="696" t="s">
        <v>59</v>
      </c>
      <c r="H17" s="696"/>
      <c r="I17" s="697"/>
      <c r="J17" s="707" t="s">
        <v>76</v>
      </c>
      <c r="K17" s="708"/>
      <c r="L17" s="708"/>
      <c r="M17" s="708"/>
      <c r="N17" s="708"/>
      <c r="O17" s="708"/>
      <c r="P17" s="708"/>
      <c r="Q17" s="708"/>
      <c r="R17" s="709"/>
      <c r="S17" s="286" t="s">
        <v>61</v>
      </c>
      <c r="T17" s="693"/>
      <c r="U17" s="694"/>
      <c r="V17" s="695"/>
      <c r="W17" s="395" t="s">
        <v>76</v>
      </c>
      <c r="X17" s="410">
        <f>$J$6</f>
        <v>40426</v>
      </c>
      <c r="Y17" s="411"/>
      <c r="Z17" s="411"/>
      <c r="AA17" s="411"/>
      <c r="AB17" s="411"/>
      <c r="AC17" s="411"/>
      <c r="AD17" s="411"/>
      <c r="AE17" s="687"/>
      <c r="AF17" s="688"/>
      <c r="AG17" s="689"/>
      <c r="AH17" s="687"/>
      <c r="AI17" s="688"/>
      <c r="AJ17" s="689"/>
      <c r="AK17" s="687"/>
      <c r="AL17" s="688"/>
      <c r="AM17" s="689"/>
    </row>
    <row r="18" spans="1:39" s="230" customFormat="1" ht="15" customHeight="1" thickBot="1">
      <c r="A18" s="594"/>
      <c r="B18" s="728"/>
      <c r="C18" s="594"/>
      <c r="D18" s="720"/>
      <c r="E18" s="412" t="str">
        <f>E12</f>
        <v>MSV Buna Schkopau</v>
      </c>
      <c r="F18" s="155" t="s">
        <v>7</v>
      </c>
      <c r="G18" s="710" t="str">
        <f>S13</f>
        <v>VfB Stuttgart</v>
      </c>
      <c r="H18" s="710"/>
      <c r="I18" s="711"/>
      <c r="J18" s="499">
        <v>11</v>
      </c>
      <c r="K18" s="155" t="s">
        <v>7</v>
      </c>
      <c r="L18" s="500">
        <v>9</v>
      </c>
      <c r="M18" s="501">
        <v>14</v>
      </c>
      <c r="N18" s="155" t="s">
        <v>7</v>
      </c>
      <c r="O18" s="500">
        <v>15</v>
      </c>
      <c r="P18" s="501">
        <v>7</v>
      </c>
      <c r="Q18" s="155" t="s">
        <v>7</v>
      </c>
      <c r="R18" s="502">
        <v>11</v>
      </c>
      <c r="S18" s="282" t="str">
        <f>IF(E11="","",E11)</f>
        <v>TV Dinglingen</v>
      </c>
      <c r="T18" s="698" t="str">
        <f>'[2]Gesamtplan So'!$E$32</f>
        <v>HP Brosig</v>
      </c>
      <c r="U18" s="699"/>
      <c r="V18" s="700"/>
      <c r="W18" s="395" t="s">
        <v>76</v>
      </c>
      <c r="X18" s="410">
        <f aca="true" t="shared" si="0" ref="X18:X38">$J$6</f>
        <v>40426</v>
      </c>
      <c r="Y18" s="402">
        <f>IF(L18="","",IF(J18&gt;L18,1,0))</f>
        <v>1</v>
      </c>
      <c r="Z18" s="402">
        <f>IF(O18="","",IF(M18&gt;O18,1,0))</f>
        <v>0</v>
      </c>
      <c r="AA18" s="402">
        <f>IF(R18="","",IF(P18&gt;R18,1,0))</f>
        <v>0</v>
      </c>
      <c r="AB18" s="402">
        <f>IF(Y18="","",IF(Y18=0,1,0))</f>
        <v>0</v>
      </c>
      <c r="AC18" s="402">
        <f>IF(Z18="","",IF(Z18=0,1,0))</f>
        <v>1</v>
      </c>
      <c r="AD18" s="402">
        <f>IF(AA18="","",IF(AA18=0,1,0))</f>
        <v>1</v>
      </c>
      <c r="AE18" s="283">
        <f>IF(O18="","",IF(P18=0,J18+M18,J18+M18+P18))</f>
        <v>32</v>
      </c>
      <c r="AF18" s="284" t="s">
        <v>7</v>
      </c>
      <c r="AG18" s="285">
        <f>IF(O18="","",IF(R18="",L18+O18,L18+O18+R18))</f>
        <v>35</v>
      </c>
      <c r="AH18" s="283">
        <f>IF(Z18="","",IF(AA18="",Y18+Z18,Y18+Z18+AA18))</f>
        <v>1</v>
      </c>
      <c r="AI18" s="284" t="s">
        <v>7</v>
      </c>
      <c r="AJ18" s="285">
        <f>IF(Z18="","",IF(AD18="",AB18+AC18,AB18+AC18+AD18))</f>
        <v>2</v>
      </c>
      <c r="AK18" s="283">
        <f>IF(Z18="","",IF(AH18=2,2,IF(AJ18=2,0,"")))</f>
        <v>0</v>
      </c>
      <c r="AL18" s="284" t="s">
        <v>7</v>
      </c>
      <c r="AM18" s="285">
        <f>IF(AK18="","",IF(AJ18=2,2,0))</f>
        <v>2</v>
      </c>
    </row>
    <row r="19" spans="1:39" s="230" customFormat="1" ht="10.5" customHeight="1">
      <c r="A19" s="723">
        <f>A17</f>
        <v>11</v>
      </c>
      <c r="B19" s="725">
        <f>B17</f>
        <v>0.4166666666666667</v>
      </c>
      <c r="C19" s="593">
        <v>22</v>
      </c>
      <c r="D19" s="719">
        <v>6</v>
      </c>
      <c r="E19" s="413" t="s">
        <v>56</v>
      </c>
      <c r="F19" s="409" t="s">
        <v>7</v>
      </c>
      <c r="G19" s="696" t="s">
        <v>60</v>
      </c>
      <c r="H19" s="696"/>
      <c r="I19" s="697"/>
      <c r="J19" s="707" t="s">
        <v>76</v>
      </c>
      <c r="K19" s="708"/>
      <c r="L19" s="708"/>
      <c r="M19" s="708"/>
      <c r="N19" s="708"/>
      <c r="O19" s="708"/>
      <c r="P19" s="708"/>
      <c r="Q19" s="708"/>
      <c r="R19" s="709"/>
      <c r="S19" s="286" t="s">
        <v>62</v>
      </c>
      <c r="T19" s="704"/>
      <c r="U19" s="705"/>
      <c r="V19" s="706"/>
      <c r="W19" s="395" t="s">
        <v>76</v>
      </c>
      <c r="X19" s="410">
        <f t="shared" si="0"/>
        <v>40426</v>
      </c>
      <c r="Y19" s="411"/>
      <c r="Z19" s="411"/>
      <c r="AA19" s="411"/>
      <c r="AB19" s="411"/>
      <c r="AC19" s="411"/>
      <c r="AD19" s="411"/>
      <c r="AE19" s="687"/>
      <c r="AF19" s="688"/>
      <c r="AG19" s="689"/>
      <c r="AH19" s="687"/>
      <c r="AI19" s="688"/>
      <c r="AJ19" s="689"/>
      <c r="AK19" s="687"/>
      <c r="AL19" s="688"/>
      <c r="AM19" s="689"/>
    </row>
    <row r="20" spans="1:39" s="230" customFormat="1" ht="15" customHeight="1" thickBot="1">
      <c r="A20" s="724"/>
      <c r="B20" s="726"/>
      <c r="C20" s="594"/>
      <c r="D20" s="720"/>
      <c r="E20" s="414" t="str">
        <f>S12</f>
        <v>SG Stern Kaulsdorf</v>
      </c>
      <c r="F20" s="155" t="s">
        <v>7</v>
      </c>
      <c r="G20" s="710" t="str">
        <f>E13</f>
        <v>TV GH Brettorf</v>
      </c>
      <c r="H20" s="710"/>
      <c r="I20" s="711"/>
      <c r="J20" s="499">
        <v>7</v>
      </c>
      <c r="K20" s="155" t="s">
        <v>7</v>
      </c>
      <c r="L20" s="500">
        <v>11</v>
      </c>
      <c r="M20" s="501">
        <v>8</v>
      </c>
      <c r="N20" s="155" t="s">
        <v>7</v>
      </c>
      <c r="O20" s="500">
        <v>11</v>
      </c>
      <c r="P20" s="501"/>
      <c r="Q20" s="155" t="s">
        <v>7</v>
      </c>
      <c r="R20" s="502"/>
      <c r="S20" s="282" t="str">
        <f>IF(S11="","",S11)</f>
        <v>TV Wünschmichelbach</v>
      </c>
      <c r="T20" s="698" t="str">
        <f>'[2]Gesamtplan So'!$I$32</f>
        <v>A. Breithaupt</v>
      </c>
      <c r="U20" s="699"/>
      <c r="V20" s="700"/>
      <c r="W20" s="395" t="s">
        <v>76</v>
      </c>
      <c r="X20" s="410">
        <f t="shared" si="0"/>
        <v>40426</v>
      </c>
      <c r="Y20" s="402">
        <f>IF(L20="","",IF(J20&gt;L20,1,0))</f>
        <v>0</v>
      </c>
      <c r="Z20" s="402">
        <f>IF(O20="","",IF(M20&gt;O20,1,0))</f>
        <v>0</v>
      </c>
      <c r="AA20" s="402">
        <f>IF(R20="","",IF(P20&gt;R20,1,0))</f>
      </c>
      <c r="AB20" s="402">
        <f>IF(Y20="","",IF(Y20=0,1,0))</f>
        <v>1</v>
      </c>
      <c r="AC20" s="402">
        <f>IF(Z20="","",IF(Z20=0,1,0))</f>
        <v>1</v>
      </c>
      <c r="AD20" s="402">
        <f>IF(AA20="","",IF(AA20=0,1,0))</f>
      </c>
      <c r="AE20" s="283">
        <f>IF(O20="","",IF(P20=0,J20+M20,J20+M20+P20))</f>
        <v>15</v>
      </c>
      <c r="AF20" s="284" t="s">
        <v>7</v>
      </c>
      <c r="AG20" s="285">
        <f>IF(O20="","",IF(R20="",L20+O20,L20+O20+R20))</f>
        <v>22</v>
      </c>
      <c r="AH20" s="283">
        <f>IF(Z20="","",IF(AA20="",Y20+Z20,Y20+Z20+AA20))</f>
        <v>0</v>
      </c>
      <c r="AI20" s="284" t="s">
        <v>7</v>
      </c>
      <c r="AJ20" s="285">
        <f>IF(Z20="","",IF(AD20="",AB20+AC20,AB20+AC20+AD20))</f>
        <v>2</v>
      </c>
      <c r="AK20" s="283">
        <f>IF(Z20="","",IF(AH20=2,2,IF(AJ20=2,0,"")))</f>
        <v>0</v>
      </c>
      <c r="AL20" s="284" t="s">
        <v>7</v>
      </c>
      <c r="AM20" s="285">
        <f>IF(AK20="","",IF(AJ20=2,2,0))</f>
        <v>2</v>
      </c>
    </row>
    <row r="21" spans="1:39" s="230" customFormat="1" ht="10.5" customHeight="1">
      <c r="A21" s="593">
        <v>12</v>
      </c>
      <c r="B21" s="729">
        <v>0.4444444444444444</v>
      </c>
      <c r="C21" s="593">
        <v>23</v>
      </c>
      <c r="D21" s="719">
        <v>5</v>
      </c>
      <c r="E21" s="413" t="s">
        <v>57</v>
      </c>
      <c r="F21" s="409" t="s">
        <v>7</v>
      </c>
      <c r="G21" s="696" t="s">
        <v>61</v>
      </c>
      <c r="H21" s="696"/>
      <c r="I21" s="697"/>
      <c r="J21" s="707" t="s">
        <v>77</v>
      </c>
      <c r="K21" s="708"/>
      <c r="L21" s="708"/>
      <c r="M21" s="708"/>
      <c r="N21" s="708"/>
      <c r="O21" s="708"/>
      <c r="P21" s="708"/>
      <c r="Q21" s="708"/>
      <c r="R21" s="709"/>
      <c r="S21" s="286" t="s">
        <v>67</v>
      </c>
      <c r="T21" s="704"/>
      <c r="U21" s="705"/>
      <c r="V21" s="706"/>
      <c r="W21" s="395" t="s">
        <v>77</v>
      </c>
      <c r="X21" s="410">
        <f t="shared" si="0"/>
        <v>40426</v>
      </c>
      <c r="Y21" s="411"/>
      <c r="Z21" s="411"/>
      <c r="AA21" s="411"/>
      <c r="AB21" s="411"/>
      <c r="AC21" s="411"/>
      <c r="AD21" s="411"/>
      <c r="AE21" s="687"/>
      <c r="AF21" s="688"/>
      <c r="AG21" s="689"/>
      <c r="AH21" s="687"/>
      <c r="AI21" s="688"/>
      <c r="AJ21" s="689"/>
      <c r="AK21" s="687"/>
      <c r="AL21" s="688"/>
      <c r="AM21" s="689"/>
    </row>
    <row r="22" spans="1:39" s="230" customFormat="1" ht="15" customHeight="1" thickBot="1">
      <c r="A22" s="594"/>
      <c r="B22" s="730"/>
      <c r="C22" s="594"/>
      <c r="D22" s="720"/>
      <c r="E22" s="414" t="str">
        <f>S10</f>
        <v>TSV Bayer Leverkusen</v>
      </c>
      <c r="F22" s="155" t="s">
        <v>7</v>
      </c>
      <c r="G22" s="710" t="str">
        <f>E11</f>
        <v>TV Dinglingen</v>
      </c>
      <c r="H22" s="710"/>
      <c r="I22" s="711"/>
      <c r="J22" s="499">
        <v>11</v>
      </c>
      <c r="K22" s="155" t="s">
        <v>7</v>
      </c>
      <c r="L22" s="500">
        <v>6</v>
      </c>
      <c r="M22" s="501">
        <v>11</v>
      </c>
      <c r="N22" s="155" t="s">
        <v>7</v>
      </c>
      <c r="O22" s="500">
        <v>9</v>
      </c>
      <c r="P22" s="501"/>
      <c r="Q22" s="155" t="s">
        <v>7</v>
      </c>
      <c r="R22" s="502"/>
      <c r="S22" s="282" t="str">
        <f>IF(E9="","",E9)</f>
        <v>ETV  Hamburg</v>
      </c>
      <c r="T22" s="698" t="str">
        <f>'[2]Gesamtplan So'!$E$34</f>
        <v>V. Reich</v>
      </c>
      <c r="U22" s="699"/>
      <c r="V22" s="700"/>
      <c r="W22" s="395" t="s">
        <v>77</v>
      </c>
      <c r="X22" s="410">
        <f t="shared" si="0"/>
        <v>40426</v>
      </c>
      <c r="Y22" s="402">
        <f>IF(L22="","",IF(J22&gt;L22,1,0))</f>
        <v>1</v>
      </c>
      <c r="Z22" s="402">
        <f>IF(O22="","",IF(M22&gt;O22,1,0))</f>
        <v>1</v>
      </c>
      <c r="AA22" s="402">
        <f>IF(R22="","",IF(P22&gt;R22,1,0))</f>
      </c>
      <c r="AB22" s="402">
        <f>IF(Y22="","",IF(Y22=0,1,0))</f>
        <v>0</v>
      </c>
      <c r="AC22" s="402">
        <f>IF(Z22="","",IF(Z22=0,1,0))</f>
        <v>0</v>
      </c>
      <c r="AD22" s="402">
        <f>IF(AA22="","",IF(AA22=0,1,0))</f>
      </c>
      <c r="AE22" s="283">
        <f>IF(O22="","",IF(P22=0,J22+M22,J22+M22+P22))</f>
        <v>22</v>
      </c>
      <c r="AF22" s="284" t="s">
        <v>7</v>
      </c>
      <c r="AG22" s="285">
        <f>IF(O22="","",IF(R22="",L22+O22,L22+O22+R22))</f>
        <v>15</v>
      </c>
      <c r="AH22" s="283">
        <f>IF(Z22="","",IF(AA22="",Y22+Z22,Y22+Z22+AA22))</f>
        <v>2</v>
      </c>
      <c r="AI22" s="284" t="s">
        <v>7</v>
      </c>
      <c r="AJ22" s="285">
        <f>IF(Z22="","",IF(AD22="",AB22+AC22,AB22+AC22+AD22))</f>
        <v>0</v>
      </c>
      <c r="AK22" s="283">
        <f>IF(Z22="","",IF(AH22=2,2,IF(AJ22=2,0,"")))</f>
        <v>2</v>
      </c>
      <c r="AL22" s="284" t="s">
        <v>7</v>
      </c>
      <c r="AM22" s="285">
        <f>IF(AK22="","",IF(AJ22=2,2,0))</f>
        <v>0</v>
      </c>
    </row>
    <row r="23" spans="1:39" s="230" customFormat="1" ht="10.5" customHeight="1">
      <c r="A23" s="723">
        <f>A21</f>
        <v>12</v>
      </c>
      <c r="B23" s="725">
        <f>B21</f>
        <v>0.4444444444444444</v>
      </c>
      <c r="C23" s="593">
        <v>24</v>
      </c>
      <c r="D23" s="719">
        <v>6</v>
      </c>
      <c r="E23" s="413" t="s">
        <v>58</v>
      </c>
      <c r="F23" s="409" t="s">
        <v>7</v>
      </c>
      <c r="G23" s="696" t="s">
        <v>62</v>
      </c>
      <c r="H23" s="696"/>
      <c r="I23" s="697"/>
      <c r="J23" s="707" t="s">
        <v>77</v>
      </c>
      <c r="K23" s="708"/>
      <c r="L23" s="708"/>
      <c r="M23" s="708"/>
      <c r="N23" s="708"/>
      <c r="O23" s="708"/>
      <c r="P23" s="708"/>
      <c r="Q23" s="708"/>
      <c r="R23" s="709"/>
      <c r="S23" s="286" t="s">
        <v>68</v>
      </c>
      <c r="T23" s="704"/>
      <c r="U23" s="705"/>
      <c r="V23" s="706"/>
      <c r="W23" s="395" t="s">
        <v>77</v>
      </c>
      <c r="X23" s="410">
        <f t="shared" si="0"/>
        <v>40426</v>
      </c>
      <c r="Y23" s="411"/>
      <c r="Z23" s="411"/>
      <c r="AA23" s="411"/>
      <c r="AB23" s="411"/>
      <c r="AC23" s="411"/>
      <c r="AD23" s="411"/>
      <c r="AE23" s="687"/>
      <c r="AF23" s="688"/>
      <c r="AG23" s="689"/>
      <c r="AH23" s="687"/>
      <c r="AI23" s="688"/>
      <c r="AJ23" s="689"/>
      <c r="AK23" s="687"/>
      <c r="AL23" s="688"/>
      <c r="AM23" s="689"/>
    </row>
    <row r="24" spans="1:39" s="230" customFormat="1" ht="15" customHeight="1" thickBot="1">
      <c r="A24" s="724"/>
      <c r="B24" s="726"/>
      <c r="C24" s="594"/>
      <c r="D24" s="720"/>
      <c r="E24" s="414" t="str">
        <f>E10</f>
        <v>TV Segnitz</v>
      </c>
      <c r="F24" s="155" t="s">
        <v>7</v>
      </c>
      <c r="G24" s="710" t="str">
        <f>S11</f>
        <v>TV Wünschmichelbach</v>
      </c>
      <c r="H24" s="710"/>
      <c r="I24" s="711"/>
      <c r="J24" s="499">
        <v>11</v>
      </c>
      <c r="K24" s="155" t="s">
        <v>7</v>
      </c>
      <c r="L24" s="500">
        <v>7</v>
      </c>
      <c r="M24" s="501">
        <v>11</v>
      </c>
      <c r="N24" s="155" t="s">
        <v>7</v>
      </c>
      <c r="O24" s="500">
        <v>6</v>
      </c>
      <c r="P24" s="501"/>
      <c r="Q24" s="155" t="s">
        <v>7</v>
      </c>
      <c r="R24" s="502"/>
      <c r="S24" s="282" t="str">
        <f>IF(S9="","",S9)</f>
        <v>TV Klarenthal</v>
      </c>
      <c r="T24" s="698" t="str">
        <f>'[2]Gesamtplan So'!$I$34</f>
        <v>R. Happersberger</v>
      </c>
      <c r="U24" s="699"/>
      <c r="V24" s="700"/>
      <c r="W24" s="395" t="s">
        <v>77</v>
      </c>
      <c r="X24" s="410">
        <f t="shared" si="0"/>
        <v>40426</v>
      </c>
      <c r="Y24" s="402">
        <f>IF(L24="","",IF(J24&gt;L24,1,0))</f>
        <v>1</v>
      </c>
      <c r="Z24" s="402">
        <f>IF(O24="","",IF(M24&gt;O24,1,0))</f>
        <v>1</v>
      </c>
      <c r="AA24" s="402">
        <f>IF(R24="","",IF(P24&gt;R24,1,0))</f>
      </c>
      <c r="AB24" s="402">
        <f>IF(Y24="","",IF(Y24=0,1,0))</f>
        <v>0</v>
      </c>
      <c r="AC24" s="402">
        <f>IF(Z24="","",IF(Z24=0,1,0))</f>
        <v>0</v>
      </c>
      <c r="AD24" s="402">
        <f>IF(AA24="","",IF(AA24=0,1,0))</f>
      </c>
      <c r="AE24" s="283">
        <f>IF(O24="","",IF(P24=0,J24+M24,J24+M24+P24))</f>
        <v>22</v>
      </c>
      <c r="AF24" s="284" t="s">
        <v>7</v>
      </c>
      <c r="AG24" s="285">
        <f>IF(O24="","",IF(R24="",L24+O24,L24+O24+R24))</f>
        <v>13</v>
      </c>
      <c r="AH24" s="283">
        <f>IF(Z24="","",IF(AA24="",Y24+Z24,Y24+Z24+AA24))</f>
        <v>2</v>
      </c>
      <c r="AI24" s="284" t="s">
        <v>7</v>
      </c>
      <c r="AJ24" s="285">
        <f>IF(Z24="","",IF(AD24="",AB24+AC24,AB24+AC24+AD24))</f>
        <v>0</v>
      </c>
      <c r="AK24" s="283">
        <f>IF(Z24="","",IF(AH24=2,2,IF(AJ24=2,0,"")))</f>
        <v>2</v>
      </c>
      <c r="AL24" s="284" t="s">
        <v>7</v>
      </c>
      <c r="AM24" s="285">
        <f>IF(AK24="","",IF(AJ24=2,2,0))</f>
        <v>0</v>
      </c>
    </row>
    <row r="25" spans="1:39" s="230" customFormat="1" ht="10.5" customHeight="1">
      <c r="A25" s="593">
        <v>13</v>
      </c>
      <c r="B25" s="729">
        <v>0.47222222222222227</v>
      </c>
      <c r="C25" s="593">
        <v>25</v>
      </c>
      <c r="D25" s="719">
        <v>5</v>
      </c>
      <c r="E25" s="413" t="s">
        <v>63</v>
      </c>
      <c r="F25" s="409" t="s">
        <v>7</v>
      </c>
      <c r="G25" s="696" t="s">
        <v>64</v>
      </c>
      <c r="H25" s="696"/>
      <c r="I25" s="697"/>
      <c r="J25" s="707" t="s">
        <v>48</v>
      </c>
      <c r="K25" s="708"/>
      <c r="L25" s="708"/>
      <c r="M25" s="708"/>
      <c r="N25" s="708"/>
      <c r="O25" s="708"/>
      <c r="P25" s="708"/>
      <c r="Q25" s="708"/>
      <c r="R25" s="709"/>
      <c r="S25" s="286" t="s">
        <v>57</v>
      </c>
      <c r="T25" s="704"/>
      <c r="U25" s="705"/>
      <c r="V25" s="706"/>
      <c r="W25" s="395" t="s">
        <v>48</v>
      </c>
      <c r="X25" s="410">
        <f t="shared" si="0"/>
        <v>40426</v>
      </c>
      <c r="Y25" s="411"/>
      <c r="Z25" s="411"/>
      <c r="AA25" s="411"/>
      <c r="AB25" s="411"/>
      <c r="AC25" s="411"/>
      <c r="AD25" s="411"/>
      <c r="AE25" s="687"/>
      <c r="AF25" s="688"/>
      <c r="AG25" s="689"/>
      <c r="AH25" s="687"/>
      <c r="AI25" s="688"/>
      <c r="AJ25" s="689"/>
      <c r="AK25" s="687"/>
      <c r="AL25" s="688"/>
      <c r="AM25" s="689"/>
    </row>
    <row r="26" spans="1:39" s="230" customFormat="1" ht="15" customHeight="1" thickBot="1">
      <c r="A26" s="594"/>
      <c r="B26" s="730"/>
      <c r="C26" s="594"/>
      <c r="D26" s="720"/>
      <c r="E26" s="414" t="str">
        <f>IF(AK18="","",IF(AK18=2,G18,E18))</f>
        <v>MSV Buna Schkopau</v>
      </c>
      <c r="F26" s="155" t="s">
        <v>7</v>
      </c>
      <c r="G26" s="710" t="str">
        <f>IF(AK20="","",IF(AK20=2,G20,E20))</f>
        <v>SG Stern Kaulsdorf</v>
      </c>
      <c r="H26" s="710"/>
      <c r="I26" s="711"/>
      <c r="J26" s="499">
        <v>11</v>
      </c>
      <c r="K26" s="155" t="s">
        <v>7</v>
      </c>
      <c r="L26" s="500">
        <v>9</v>
      </c>
      <c r="M26" s="501">
        <v>11</v>
      </c>
      <c r="N26" s="155" t="s">
        <v>7</v>
      </c>
      <c r="O26" s="500">
        <v>9</v>
      </c>
      <c r="P26" s="501"/>
      <c r="Q26" s="155" t="s">
        <v>7</v>
      </c>
      <c r="R26" s="502"/>
      <c r="S26" s="282" t="str">
        <f>IF(S10="","",S10)</f>
        <v>TSV Bayer Leverkusen</v>
      </c>
      <c r="T26" s="698" t="str">
        <f>'[2]Gesamtplan So'!$E$36</f>
        <v>M. Niedermayer</v>
      </c>
      <c r="U26" s="699"/>
      <c r="V26" s="700"/>
      <c r="W26" s="395" t="s">
        <v>48</v>
      </c>
      <c r="X26" s="410">
        <f t="shared" si="0"/>
        <v>40426</v>
      </c>
      <c r="Y26" s="402">
        <f>IF(L26="","",IF(J26&gt;L26,1,0))</f>
        <v>1</v>
      </c>
      <c r="Z26" s="402">
        <f>IF(O26="","",IF(M26&gt;O26,1,0))</f>
        <v>1</v>
      </c>
      <c r="AA26" s="402">
        <f>IF(R26="","",IF(P26&gt;R26,1,0))</f>
      </c>
      <c r="AB26" s="402">
        <f>IF(Y26="","",IF(Y26=0,1,0))</f>
        <v>0</v>
      </c>
      <c r="AC26" s="402">
        <f>IF(Z26="","",IF(Z26=0,1,0))</f>
        <v>0</v>
      </c>
      <c r="AD26" s="402">
        <f>IF(AA26="","",IF(AA26=0,1,0))</f>
      </c>
      <c r="AE26" s="283">
        <f>IF(O26="","",IF(P26=0,J26+M26,J26+M26+P26))</f>
        <v>22</v>
      </c>
      <c r="AF26" s="284" t="s">
        <v>7</v>
      </c>
      <c r="AG26" s="285">
        <f>IF(O26="","",IF(R26="",L26+O26,L26+O26+R26))</f>
        <v>18</v>
      </c>
      <c r="AH26" s="283">
        <f>IF(Z26="","",IF(AA26="",Y26+Z26,Y26+Z26+AA26))</f>
        <v>2</v>
      </c>
      <c r="AI26" s="284" t="s">
        <v>7</v>
      </c>
      <c r="AJ26" s="285">
        <f>IF(Z26="","",IF(AD26="",AB26+AC26,AB26+AC26+AD26))</f>
        <v>0</v>
      </c>
      <c r="AK26" s="283">
        <f>IF(Z26="","",IF(AH26=2,2,IF(AJ26=2,0,"")))</f>
        <v>2</v>
      </c>
      <c r="AL26" s="284" t="s">
        <v>7</v>
      </c>
      <c r="AM26" s="285">
        <f>IF(AK26="","",IF(AJ26=2,2,0))</f>
        <v>0</v>
      </c>
    </row>
    <row r="27" spans="1:39" s="230" customFormat="1" ht="10.5" customHeight="1">
      <c r="A27" s="723">
        <f>A25</f>
        <v>13</v>
      </c>
      <c r="B27" s="725">
        <f>B25</f>
        <v>0.47222222222222227</v>
      </c>
      <c r="C27" s="593">
        <v>26</v>
      </c>
      <c r="D27" s="719">
        <v>6</v>
      </c>
      <c r="E27" s="413" t="s">
        <v>65</v>
      </c>
      <c r="F27" s="409" t="s">
        <v>7</v>
      </c>
      <c r="G27" s="696" t="s">
        <v>66</v>
      </c>
      <c r="H27" s="696"/>
      <c r="I27" s="697"/>
      <c r="J27" s="707" t="s">
        <v>49</v>
      </c>
      <c r="K27" s="708"/>
      <c r="L27" s="708"/>
      <c r="M27" s="708"/>
      <c r="N27" s="708"/>
      <c r="O27" s="708"/>
      <c r="P27" s="708"/>
      <c r="Q27" s="708"/>
      <c r="R27" s="709"/>
      <c r="S27" s="286" t="s">
        <v>58</v>
      </c>
      <c r="T27" s="704"/>
      <c r="U27" s="705"/>
      <c r="V27" s="706"/>
      <c r="W27" s="395" t="s">
        <v>49</v>
      </c>
      <c r="X27" s="410">
        <f t="shared" si="0"/>
        <v>40426</v>
      </c>
      <c r="Y27" s="411"/>
      <c r="Z27" s="411"/>
      <c r="AA27" s="411"/>
      <c r="AB27" s="411"/>
      <c r="AC27" s="411"/>
      <c r="AD27" s="411"/>
      <c r="AE27" s="687"/>
      <c r="AF27" s="688"/>
      <c r="AG27" s="689"/>
      <c r="AH27" s="687"/>
      <c r="AI27" s="688"/>
      <c r="AJ27" s="689"/>
      <c r="AK27" s="687"/>
      <c r="AL27" s="688"/>
      <c r="AM27" s="689"/>
    </row>
    <row r="28" spans="1:39" s="230" customFormat="1" ht="15" customHeight="1" thickBot="1">
      <c r="A28" s="724"/>
      <c r="B28" s="726"/>
      <c r="C28" s="594"/>
      <c r="D28" s="720"/>
      <c r="E28" s="414" t="str">
        <f>IF(AK18="","",IF(AK18=2,E18,G18))</f>
        <v>VfB Stuttgart</v>
      </c>
      <c r="F28" s="155" t="s">
        <v>7</v>
      </c>
      <c r="G28" s="710" t="str">
        <f>IF(AK20="","",IF(AK20=2,E20,G20))</f>
        <v>TV GH Brettorf</v>
      </c>
      <c r="H28" s="710"/>
      <c r="I28" s="711"/>
      <c r="J28" s="499">
        <v>4</v>
      </c>
      <c r="K28" s="155" t="s">
        <v>7</v>
      </c>
      <c r="L28" s="500">
        <v>11</v>
      </c>
      <c r="M28" s="501">
        <v>9</v>
      </c>
      <c r="N28" s="155" t="s">
        <v>7</v>
      </c>
      <c r="O28" s="500">
        <v>11</v>
      </c>
      <c r="P28" s="501"/>
      <c r="Q28" s="155" t="s">
        <v>7</v>
      </c>
      <c r="R28" s="502"/>
      <c r="S28" s="282" t="str">
        <f>IF(E10="","",E10)</f>
        <v>TV Segnitz</v>
      </c>
      <c r="T28" s="698" t="str">
        <f>'[2]Gesamtplan So'!$I$36</f>
        <v>G. Heyne</v>
      </c>
      <c r="U28" s="699"/>
      <c r="V28" s="700"/>
      <c r="W28" s="395" t="s">
        <v>49</v>
      </c>
      <c r="X28" s="410">
        <f t="shared" si="0"/>
        <v>40426</v>
      </c>
      <c r="Y28" s="402">
        <f>IF(L28="","",IF(J28&gt;L28,1,0))</f>
        <v>0</v>
      </c>
      <c r="Z28" s="402">
        <f>IF(O28="","",IF(M28&gt;O28,1,0))</f>
        <v>0</v>
      </c>
      <c r="AA28" s="402">
        <f>IF(R28="","",IF(P28&gt;R28,1,0))</f>
      </c>
      <c r="AB28" s="402">
        <f>IF(Y28="","",IF(Y28=0,1,0))</f>
        <v>1</v>
      </c>
      <c r="AC28" s="402">
        <f>IF(Z28="","",IF(Z28=0,1,0))</f>
        <v>1</v>
      </c>
      <c r="AD28" s="402">
        <f>IF(AA28="","",IF(AA28=0,1,0))</f>
      </c>
      <c r="AE28" s="283">
        <f>IF(O28="","",IF(P28=0,J28+M28,J28+M28+P28))</f>
        <v>13</v>
      </c>
      <c r="AF28" s="284" t="s">
        <v>7</v>
      </c>
      <c r="AG28" s="285">
        <f>IF(O28="","",IF(R28="",L28+O28,L28+O28+R28))</f>
        <v>22</v>
      </c>
      <c r="AH28" s="283">
        <f>IF(Z28="","",IF(AA28="",Y28+Z28,Y28+Z28+AA28))</f>
        <v>0</v>
      </c>
      <c r="AI28" s="284" t="s">
        <v>7</v>
      </c>
      <c r="AJ28" s="285">
        <f>IF(Z28="","",IF(AD28="",AB28+AC28,AB28+AC28+AD28))</f>
        <v>2</v>
      </c>
      <c r="AK28" s="283">
        <f>IF(Z28="","",IF(AH28=2,2,IF(AJ28=2,0,"")))</f>
        <v>0</v>
      </c>
      <c r="AL28" s="284" t="s">
        <v>7</v>
      </c>
      <c r="AM28" s="285">
        <f>IF(AK28="","",IF(AJ28=2,2,0))</f>
        <v>2</v>
      </c>
    </row>
    <row r="29" spans="1:39" s="230" customFormat="1" ht="10.5" customHeight="1">
      <c r="A29" s="739">
        <v>14</v>
      </c>
      <c r="B29" s="740">
        <v>0.5</v>
      </c>
      <c r="C29" s="721">
        <v>27</v>
      </c>
      <c r="D29" s="739">
        <v>5</v>
      </c>
      <c r="E29" s="413" t="s">
        <v>67</v>
      </c>
      <c r="F29" s="409" t="s">
        <v>7</v>
      </c>
      <c r="G29" s="696" t="s">
        <v>51</v>
      </c>
      <c r="H29" s="696"/>
      <c r="I29" s="697"/>
      <c r="J29" s="707" t="s">
        <v>50</v>
      </c>
      <c r="K29" s="708"/>
      <c r="L29" s="708"/>
      <c r="M29" s="708"/>
      <c r="N29" s="708"/>
      <c r="O29" s="708"/>
      <c r="P29" s="708"/>
      <c r="Q29" s="708"/>
      <c r="R29" s="709"/>
      <c r="S29" s="286" t="s">
        <v>114</v>
      </c>
      <c r="T29" s="704"/>
      <c r="U29" s="705"/>
      <c r="V29" s="706"/>
      <c r="W29" s="395" t="s">
        <v>50</v>
      </c>
      <c r="X29" s="410">
        <f t="shared" si="0"/>
        <v>40426</v>
      </c>
      <c r="Y29" s="411"/>
      <c r="Z29" s="411"/>
      <c r="AA29" s="411"/>
      <c r="AB29" s="411"/>
      <c r="AC29" s="411"/>
      <c r="AD29" s="411"/>
      <c r="AE29" s="687"/>
      <c r="AF29" s="688"/>
      <c r="AG29" s="689"/>
      <c r="AH29" s="687"/>
      <c r="AI29" s="688"/>
      <c r="AJ29" s="689"/>
      <c r="AK29" s="687"/>
      <c r="AL29" s="688"/>
      <c r="AM29" s="689"/>
    </row>
    <row r="30" spans="1:39" s="230" customFormat="1" ht="15" customHeight="1" thickBot="1">
      <c r="A30" s="737"/>
      <c r="B30" s="741"/>
      <c r="C30" s="722"/>
      <c r="D30" s="737"/>
      <c r="E30" s="574" t="str">
        <f>E9</f>
        <v>ETV  Hamburg</v>
      </c>
      <c r="F30" s="575" t="s">
        <v>7</v>
      </c>
      <c r="G30" s="712" t="str">
        <f>IF(AK22="","",IF(AK22=2,E22,G22))</f>
        <v>TSV Bayer Leverkusen</v>
      </c>
      <c r="H30" s="712"/>
      <c r="I30" s="713"/>
      <c r="J30" s="577">
        <v>11</v>
      </c>
      <c r="K30" s="575" t="s">
        <v>7</v>
      </c>
      <c r="L30" s="578">
        <v>6</v>
      </c>
      <c r="M30" s="579">
        <v>15</v>
      </c>
      <c r="N30" s="575" t="s">
        <v>7</v>
      </c>
      <c r="O30" s="578">
        <v>14</v>
      </c>
      <c r="P30" s="579"/>
      <c r="Q30" s="575" t="s">
        <v>7</v>
      </c>
      <c r="R30" s="580"/>
      <c r="S30" s="576" t="str">
        <f>IF(Mannschaften!I5="","",Mannschaften!I5)</f>
        <v>TSV Wiesental</v>
      </c>
      <c r="T30" s="734" t="str">
        <f>'[2]Gesamtplan So'!$E$38</f>
        <v>R. Happersberger</v>
      </c>
      <c r="U30" s="735"/>
      <c r="V30" s="736"/>
      <c r="W30" s="395" t="s">
        <v>50</v>
      </c>
      <c r="X30" s="410">
        <f t="shared" si="0"/>
        <v>40426</v>
      </c>
      <c r="Y30" s="402">
        <f>IF(L30="","",IF(J30&gt;L30,1,0))</f>
        <v>1</v>
      </c>
      <c r="Z30" s="402">
        <f>IF(O30="","",IF(M30&gt;O30,1,0))</f>
        <v>1</v>
      </c>
      <c r="AA30" s="402">
        <f>IF(R30="","",IF(P30&gt;R30,1,0))</f>
      </c>
      <c r="AB30" s="402">
        <f>IF(Y30="","",IF(Y30=0,1,0))</f>
        <v>0</v>
      </c>
      <c r="AC30" s="402">
        <f>IF(Z30="","",IF(Z30=0,1,0))</f>
        <v>0</v>
      </c>
      <c r="AD30" s="402">
        <f>IF(AA30="","",IF(AA30=0,1,0))</f>
      </c>
      <c r="AE30" s="584">
        <f>IF(O30="","",IF(P30=0,J30+M30,J30+M30+P30))</f>
        <v>26</v>
      </c>
      <c r="AF30" s="585" t="s">
        <v>7</v>
      </c>
      <c r="AG30" s="586">
        <f>IF(O30="","",IF(R30="",L30+O30,L30+O30+R30))</f>
        <v>20</v>
      </c>
      <c r="AH30" s="584">
        <f>IF(Z30="","",IF(AA30="",Y30+Z30,Y30+Z30+AA30))</f>
        <v>2</v>
      </c>
      <c r="AI30" s="585" t="s">
        <v>7</v>
      </c>
      <c r="AJ30" s="586">
        <f>IF(Z30="","",IF(AD30="",AB30+AC30,AB30+AC30+AD30))</f>
        <v>0</v>
      </c>
      <c r="AK30" s="584">
        <f>IF(Z30="","",IF(AH30=2,2,IF(AJ30=2,0,"")))</f>
        <v>2</v>
      </c>
      <c r="AL30" s="585" t="s">
        <v>7</v>
      </c>
      <c r="AM30" s="586">
        <f>IF(AK30="","",IF(AJ30=2,2,0))</f>
        <v>0</v>
      </c>
    </row>
    <row r="31" spans="1:39" s="230" customFormat="1" ht="10.5" customHeight="1">
      <c r="A31" s="737"/>
      <c r="B31" s="743"/>
      <c r="C31" s="722">
        <v>28</v>
      </c>
      <c r="D31" s="737">
        <v>6</v>
      </c>
      <c r="E31" s="581" t="s">
        <v>68</v>
      </c>
      <c r="F31" s="582" t="s">
        <v>7</v>
      </c>
      <c r="G31" s="717" t="s">
        <v>69</v>
      </c>
      <c r="H31" s="717"/>
      <c r="I31" s="718"/>
      <c r="J31" s="714" t="s">
        <v>50</v>
      </c>
      <c r="K31" s="715"/>
      <c r="L31" s="715"/>
      <c r="M31" s="715"/>
      <c r="N31" s="715"/>
      <c r="O31" s="715"/>
      <c r="P31" s="715"/>
      <c r="Q31" s="715"/>
      <c r="R31" s="716"/>
      <c r="S31" s="583" t="s">
        <v>114</v>
      </c>
      <c r="T31" s="731"/>
      <c r="U31" s="732"/>
      <c r="V31" s="733"/>
      <c r="W31" s="395" t="s">
        <v>50</v>
      </c>
      <c r="X31" s="410">
        <f t="shared" si="0"/>
        <v>40426</v>
      </c>
      <c r="Y31" s="411"/>
      <c r="Z31" s="411"/>
      <c r="AA31" s="411"/>
      <c r="AB31" s="411"/>
      <c r="AC31" s="411"/>
      <c r="AD31" s="411"/>
      <c r="AE31" s="684"/>
      <c r="AF31" s="685"/>
      <c r="AG31" s="686"/>
      <c r="AH31" s="684"/>
      <c r="AI31" s="685"/>
      <c r="AJ31" s="686"/>
      <c r="AK31" s="684"/>
      <c r="AL31" s="685"/>
      <c r="AM31" s="686"/>
    </row>
    <row r="32" spans="1:39" s="230" customFormat="1" ht="15" customHeight="1" thickBot="1">
      <c r="A32" s="738"/>
      <c r="B32" s="744"/>
      <c r="C32" s="742"/>
      <c r="D32" s="738"/>
      <c r="E32" s="414" t="str">
        <f>S9</f>
        <v>TV Klarenthal</v>
      </c>
      <c r="F32" s="155" t="s">
        <v>7</v>
      </c>
      <c r="G32" s="710" t="str">
        <f>IF(AK24="","",IF(AK24=2,E24,G24))</f>
        <v>TV Segnitz</v>
      </c>
      <c r="H32" s="710"/>
      <c r="I32" s="711"/>
      <c r="J32" s="499">
        <v>11</v>
      </c>
      <c r="K32" s="155" t="s">
        <v>7</v>
      </c>
      <c r="L32" s="500">
        <v>2</v>
      </c>
      <c r="M32" s="501">
        <v>8</v>
      </c>
      <c r="N32" s="155" t="s">
        <v>7</v>
      </c>
      <c r="O32" s="500">
        <v>11</v>
      </c>
      <c r="P32" s="501">
        <v>13</v>
      </c>
      <c r="Q32" s="155" t="s">
        <v>7</v>
      </c>
      <c r="R32" s="502">
        <v>11</v>
      </c>
      <c r="S32" s="282" t="str">
        <f>IF(Mannschaften!I5="","",Mannschaften!I5)</f>
        <v>TSV Wiesental</v>
      </c>
      <c r="T32" s="698" t="str">
        <f>'[2]Gesamtplan So'!$I$38</f>
        <v>HP Brosig</v>
      </c>
      <c r="U32" s="699"/>
      <c r="V32" s="700"/>
      <c r="W32" s="395" t="s">
        <v>50</v>
      </c>
      <c r="X32" s="410">
        <f t="shared" si="0"/>
        <v>40426</v>
      </c>
      <c r="Y32" s="402">
        <f>IF(L32="","",IF(J32&gt;L32,1,0))</f>
        <v>1</v>
      </c>
      <c r="Z32" s="402">
        <f>IF(O32="","",IF(M32&gt;O32,1,0))</f>
        <v>0</v>
      </c>
      <c r="AA32" s="402">
        <f>IF(R32="","",IF(P32&gt;R32,1,0))</f>
        <v>1</v>
      </c>
      <c r="AB32" s="402">
        <f>IF(Y32="","",IF(Y32=0,1,0))</f>
        <v>0</v>
      </c>
      <c r="AC32" s="402">
        <f>IF(Z32="","",IF(Z32=0,1,0))</f>
        <v>1</v>
      </c>
      <c r="AD32" s="402">
        <f>IF(AA32="","",IF(AA32=0,1,0))</f>
        <v>0</v>
      </c>
      <c r="AE32" s="283">
        <f>IF(O32="","",IF(P32=0,J32+M32,J32+M32+P32))</f>
        <v>32</v>
      </c>
      <c r="AF32" s="284" t="s">
        <v>7</v>
      </c>
      <c r="AG32" s="285">
        <f>IF(O32="","",IF(R32="",L32+O32,L32+O32+R32))</f>
        <v>24</v>
      </c>
      <c r="AH32" s="283">
        <f>IF(Z32="","",IF(AA32="",Y32+Z32,Y32+Z32+AA32))</f>
        <v>2</v>
      </c>
      <c r="AI32" s="284" t="s">
        <v>7</v>
      </c>
      <c r="AJ32" s="285">
        <f>IF(Z32="","",IF(AD32="",AB32+AC32,AB32+AC32+AD32))</f>
        <v>1</v>
      </c>
      <c r="AK32" s="283">
        <f>IF(Z32="","",IF(AH32=2,2,IF(AJ32=2,0,"")))</f>
        <v>2</v>
      </c>
      <c r="AL32" s="284" t="s">
        <v>7</v>
      </c>
      <c r="AM32" s="285">
        <f>IF(AK32="","",IF(AJ32=2,2,0))</f>
        <v>0</v>
      </c>
    </row>
    <row r="33" spans="1:39" s="230" customFormat="1" ht="10.5" customHeight="1">
      <c r="A33" s="719">
        <v>15</v>
      </c>
      <c r="B33" s="729">
        <v>0.5277777777777778</v>
      </c>
      <c r="C33" s="593">
        <v>29</v>
      </c>
      <c r="D33" s="719">
        <v>2</v>
      </c>
      <c r="E33" s="413" t="s">
        <v>70</v>
      </c>
      <c r="F33" s="409" t="s">
        <v>7</v>
      </c>
      <c r="G33" s="696" t="s">
        <v>71</v>
      </c>
      <c r="H33" s="696"/>
      <c r="I33" s="697"/>
      <c r="J33" s="707" t="s">
        <v>52</v>
      </c>
      <c r="K33" s="708"/>
      <c r="L33" s="708"/>
      <c r="M33" s="708"/>
      <c r="N33" s="708"/>
      <c r="O33" s="708"/>
      <c r="P33" s="708"/>
      <c r="Q33" s="708"/>
      <c r="R33" s="709"/>
      <c r="S33" s="286" t="s">
        <v>114</v>
      </c>
      <c r="T33" s="704"/>
      <c r="U33" s="705"/>
      <c r="V33" s="706"/>
      <c r="W33" s="395" t="s">
        <v>52</v>
      </c>
      <c r="X33" s="410">
        <f t="shared" si="0"/>
        <v>40426</v>
      </c>
      <c r="Y33" s="411"/>
      <c r="Z33" s="411"/>
      <c r="AA33" s="411"/>
      <c r="AB33" s="411"/>
      <c r="AC33" s="411"/>
      <c r="AD33" s="411"/>
      <c r="AE33" s="687"/>
      <c r="AF33" s="688"/>
      <c r="AG33" s="689"/>
      <c r="AH33" s="687"/>
      <c r="AI33" s="688"/>
      <c r="AJ33" s="689"/>
      <c r="AK33" s="687"/>
      <c r="AL33" s="688"/>
      <c r="AM33" s="689"/>
    </row>
    <row r="34" spans="1:39" s="230" customFormat="1" ht="15" customHeight="1" thickBot="1">
      <c r="A34" s="720"/>
      <c r="B34" s="730"/>
      <c r="C34" s="594"/>
      <c r="D34" s="720"/>
      <c r="E34" s="414" t="str">
        <f>IF(AK22="","",IF(AK22=2,G22,E22))</f>
        <v>TV Dinglingen</v>
      </c>
      <c r="F34" s="155" t="s">
        <v>7</v>
      </c>
      <c r="G34" s="710" t="str">
        <f>IF(AK24="","",IF(AK24=2,G24,E24))</f>
        <v>TV Wünschmichelbach</v>
      </c>
      <c r="H34" s="710"/>
      <c r="I34" s="711"/>
      <c r="J34" s="499">
        <v>11</v>
      </c>
      <c r="K34" s="155" t="s">
        <v>7</v>
      </c>
      <c r="L34" s="500">
        <v>6</v>
      </c>
      <c r="M34" s="501">
        <v>11</v>
      </c>
      <c r="N34" s="155" t="s">
        <v>7</v>
      </c>
      <c r="O34" s="500">
        <v>8</v>
      </c>
      <c r="P34" s="501"/>
      <c r="Q34" s="155" t="s">
        <v>7</v>
      </c>
      <c r="R34" s="502"/>
      <c r="S34" s="282" t="str">
        <f>IF(Mannschaften!I5="","",Mannschaften!I5)</f>
        <v>TSV Wiesental</v>
      </c>
      <c r="T34" s="698" t="str">
        <f>'[2]Gesamtplan So'!$I$47</f>
        <v>M. Niedermayer</v>
      </c>
      <c r="U34" s="699"/>
      <c r="V34" s="700"/>
      <c r="W34" s="395" t="s">
        <v>52</v>
      </c>
      <c r="X34" s="410">
        <f t="shared" si="0"/>
        <v>40426</v>
      </c>
      <c r="Y34" s="402">
        <f>IF(L34="","",IF(J34&gt;L34,1,0))</f>
        <v>1</v>
      </c>
      <c r="Z34" s="402">
        <f>IF(O34="","",IF(M34&gt;O34,1,0))</f>
        <v>1</v>
      </c>
      <c r="AA34" s="402">
        <f>IF(R34="","",IF(P34&gt;R34,1,0))</f>
      </c>
      <c r="AB34" s="402">
        <f>IF(Y34="","",IF(Y34=0,1,0))</f>
        <v>0</v>
      </c>
      <c r="AC34" s="402">
        <f>IF(Z34="","",IF(Z34=0,1,0))</f>
        <v>0</v>
      </c>
      <c r="AD34" s="402">
        <f>IF(AA34="","",IF(AA34=0,1,0))</f>
      </c>
      <c r="AE34" s="283">
        <f>IF(O34="","",IF(P34=0,J34+M34,J34+M34+P34))</f>
        <v>22</v>
      </c>
      <c r="AF34" s="284" t="s">
        <v>7</v>
      </c>
      <c r="AG34" s="285">
        <f>IF(O34="","",IF(R34="",L34+O34,L34+O34+R34))</f>
        <v>14</v>
      </c>
      <c r="AH34" s="283">
        <f>IF(Z34="","",IF(AA34="",Y34+Z34,Y34+Z34+AA34))</f>
        <v>2</v>
      </c>
      <c r="AI34" s="284" t="s">
        <v>7</v>
      </c>
      <c r="AJ34" s="285">
        <f>IF(Z34="","",IF(AD34="",AB34+AC34,AB34+AC34+AD34))</f>
        <v>0</v>
      </c>
      <c r="AK34" s="283">
        <f>IF(Z34="","",IF(AH34=2,2,IF(AJ34=2,0,"")))</f>
        <v>2</v>
      </c>
      <c r="AL34" s="284" t="s">
        <v>7</v>
      </c>
      <c r="AM34" s="285">
        <f>IF(AK34="","",IF(AJ34=2,2,0))</f>
        <v>0</v>
      </c>
    </row>
    <row r="35" spans="1:39" s="230" customFormat="1" ht="10.5" customHeight="1">
      <c r="A35" s="719">
        <v>16</v>
      </c>
      <c r="B35" s="729">
        <v>0.5555555555555556</v>
      </c>
      <c r="C35" s="593">
        <v>30</v>
      </c>
      <c r="D35" s="719">
        <v>2</v>
      </c>
      <c r="E35" s="413" t="s">
        <v>72</v>
      </c>
      <c r="F35" s="409" t="s">
        <v>7</v>
      </c>
      <c r="G35" s="696" t="s">
        <v>73</v>
      </c>
      <c r="H35" s="696"/>
      <c r="I35" s="697"/>
      <c r="J35" s="707" t="s">
        <v>53</v>
      </c>
      <c r="K35" s="708"/>
      <c r="L35" s="708"/>
      <c r="M35" s="708"/>
      <c r="N35" s="708"/>
      <c r="O35" s="708"/>
      <c r="P35" s="708"/>
      <c r="Q35" s="708"/>
      <c r="R35" s="709"/>
      <c r="S35" s="286" t="s">
        <v>114</v>
      </c>
      <c r="T35" s="704"/>
      <c r="U35" s="705"/>
      <c r="V35" s="706"/>
      <c r="W35" s="395" t="s">
        <v>53</v>
      </c>
      <c r="X35" s="410">
        <f t="shared" si="0"/>
        <v>40426</v>
      </c>
      <c r="Y35" s="411"/>
      <c r="Z35" s="411"/>
      <c r="AA35" s="411"/>
      <c r="AB35" s="411"/>
      <c r="AC35" s="411"/>
      <c r="AD35" s="411"/>
      <c r="AE35" s="687"/>
      <c r="AF35" s="688"/>
      <c r="AG35" s="689"/>
      <c r="AH35" s="687"/>
      <c r="AI35" s="688"/>
      <c r="AJ35" s="689"/>
      <c r="AK35" s="687"/>
      <c r="AL35" s="688"/>
      <c r="AM35" s="689"/>
    </row>
    <row r="36" spans="1:39" s="230" customFormat="1" ht="15" customHeight="1" thickBot="1">
      <c r="A36" s="720"/>
      <c r="B36" s="730"/>
      <c r="C36" s="594"/>
      <c r="D36" s="720"/>
      <c r="E36" s="414" t="str">
        <f>IF(AK30="","",IF(AK30=2,G30,E30))</f>
        <v>TSV Bayer Leverkusen</v>
      </c>
      <c r="F36" s="155" t="s">
        <v>7</v>
      </c>
      <c r="G36" s="710" t="str">
        <f>IF(AK32="","",IF(AK32=2,G32,E32))</f>
        <v>TV Segnitz</v>
      </c>
      <c r="H36" s="710"/>
      <c r="I36" s="711"/>
      <c r="J36" s="499">
        <v>11</v>
      </c>
      <c r="K36" s="155" t="s">
        <v>7</v>
      </c>
      <c r="L36" s="500">
        <v>3</v>
      </c>
      <c r="M36" s="501">
        <v>11</v>
      </c>
      <c r="N36" s="155" t="s">
        <v>7</v>
      </c>
      <c r="O36" s="500">
        <v>4</v>
      </c>
      <c r="P36" s="501"/>
      <c r="Q36" s="155" t="s">
        <v>7</v>
      </c>
      <c r="R36" s="502"/>
      <c r="S36" s="592" t="str">
        <f>'[2]Gesamtplan So'!$I$48</f>
        <v>St. Lutz</v>
      </c>
      <c r="T36" s="698" t="str">
        <f>'[2]Gesamtplan So'!$I$50</f>
        <v>R. Happersberger</v>
      </c>
      <c r="U36" s="699"/>
      <c r="V36" s="700"/>
      <c r="W36" s="395" t="s">
        <v>53</v>
      </c>
      <c r="X36" s="410">
        <f t="shared" si="0"/>
        <v>40426</v>
      </c>
      <c r="Y36" s="402">
        <f>IF(L36="","",IF(J36&gt;L36,1,0))</f>
        <v>1</v>
      </c>
      <c r="Z36" s="402">
        <f>IF(O36="","",IF(M36&gt;O36,1,0))</f>
        <v>1</v>
      </c>
      <c r="AA36" s="402">
        <f>IF(R36="","",IF(P36&gt;R36,1,0))</f>
      </c>
      <c r="AB36" s="402">
        <f>IF(Y36="","",IF(Y36=0,1,0))</f>
        <v>0</v>
      </c>
      <c r="AC36" s="402">
        <f>IF(Z36="","",IF(Z36=0,1,0))</f>
        <v>0</v>
      </c>
      <c r="AD36" s="402">
        <f>IF(AA36="","",IF(AA36=0,1,0))</f>
      </c>
      <c r="AE36" s="283">
        <f>IF(O36="","",IF(P36=0,J36+M36,J36+M36+P36))</f>
        <v>22</v>
      </c>
      <c r="AF36" s="284" t="s">
        <v>7</v>
      </c>
      <c r="AG36" s="285">
        <f>IF(O36="","",IF(R36="",L36+O36,L36+O36+R36))</f>
        <v>7</v>
      </c>
      <c r="AH36" s="283">
        <f>IF(Z36="","",IF(AA36="",Y36+Z36,Y36+Z36+AA36))</f>
        <v>2</v>
      </c>
      <c r="AI36" s="284" t="s">
        <v>7</v>
      </c>
      <c r="AJ36" s="285">
        <f>IF(Z36="","",IF(AD36="",AB36+AC36,AB36+AC36+AD36))</f>
        <v>0</v>
      </c>
      <c r="AK36" s="283">
        <f>IF(Z36="","",IF(AH36=2,2,IF(AJ36=2,0,"")))</f>
        <v>2</v>
      </c>
      <c r="AL36" s="284" t="s">
        <v>7</v>
      </c>
      <c r="AM36" s="285">
        <f>IF(AK36="","",IF(AJ36=2,2,0))</f>
        <v>0</v>
      </c>
    </row>
    <row r="37" spans="1:39" s="230" customFormat="1" ht="10.5" customHeight="1">
      <c r="A37" s="719">
        <v>17</v>
      </c>
      <c r="B37" s="729">
        <v>0.5833333333333334</v>
      </c>
      <c r="C37" s="593">
        <v>31</v>
      </c>
      <c r="D37" s="719">
        <v>1</v>
      </c>
      <c r="E37" s="413" t="s">
        <v>74</v>
      </c>
      <c r="F37" s="409" t="s">
        <v>7</v>
      </c>
      <c r="G37" s="696" t="s">
        <v>75</v>
      </c>
      <c r="H37" s="696"/>
      <c r="I37" s="697"/>
      <c r="J37" s="707" t="s">
        <v>54</v>
      </c>
      <c r="K37" s="708"/>
      <c r="L37" s="708"/>
      <c r="M37" s="708"/>
      <c r="N37" s="708"/>
      <c r="O37" s="708"/>
      <c r="P37" s="708"/>
      <c r="Q37" s="708"/>
      <c r="R37" s="709"/>
      <c r="S37" s="286" t="s">
        <v>78</v>
      </c>
      <c r="T37" s="704"/>
      <c r="U37" s="705"/>
      <c r="V37" s="706"/>
      <c r="W37" s="395" t="s">
        <v>120</v>
      </c>
      <c r="X37" s="410">
        <f t="shared" si="0"/>
        <v>40426</v>
      </c>
      <c r="Y37" s="411"/>
      <c r="Z37" s="411"/>
      <c r="AA37" s="411"/>
      <c r="AB37" s="411"/>
      <c r="AC37" s="411"/>
      <c r="AD37" s="411"/>
      <c r="AE37" s="687"/>
      <c r="AF37" s="688"/>
      <c r="AG37" s="689"/>
      <c r="AH37" s="687"/>
      <c r="AI37" s="688"/>
      <c r="AJ37" s="689"/>
      <c r="AK37" s="687"/>
      <c r="AL37" s="688"/>
      <c r="AM37" s="689"/>
    </row>
    <row r="38" spans="1:39" s="230" customFormat="1" ht="15" customHeight="1" thickBot="1">
      <c r="A38" s="720"/>
      <c r="B38" s="730"/>
      <c r="C38" s="594"/>
      <c r="D38" s="720"/>
      <c r="E38" s="414" t="str">
        <f>IF(AK30="","",IF(AK30=2,E30,G30))</f>
        <v>ETV  Hamburg</v>
      </c>
      <c r="F38" s="155" t="s">
        <v>7</v>
      </c>
      <c r="G38" s="710" t="str">
        <f>IF(AK32="","",IF(AK32=2,E32,G32))</f>
        <v>TV Klarenthal</v>
      </c>
      <c r="H38" s="710"/>
      <c r="I38" s="711"/>
      <c r="J38" s="499">
        <v>11</v>
      </c>
      <c r="K38" s="155" t="s">
        <v>7</v>
      </c>
      <c r="L38" s="500">
        <v>3</v>
      </c>
      <c r="M38" s="501">
        <v>12</v>
      </c>
      <c r="N38" s="155" t="s">
        <v>7</v>
      </c>
      <c r="O38" s="500">
        <v>10</v>
      </c>
      <c r="P38" s="501"/>
      <c r="Q38" s="155" t="s">
        <v>7</v>
      </c>
      <c r="R38" s="502"/>
      <c r="S38" s="592" t="str">
        <f>'[2]Gesamtplan So'!$E$51</f>
        <v>A. Breithaupt</v>
      </c>
      <c r="T38" s="698" t="str">
        <f>'[2]Gesamtplan So'!$E$53</f>
        <v>HP Brosig</v>
      </c>
      <c r="U38" s="699"/>
      <c r="V38" s="700"/>
      <c r="W38" s="395" t="s">
        <v>120</v>
      </c>
      <c r="X38" s="410">
        <f t="shared" si="0"/>
        <v>40426</v>
      </c>
      <c r="Y38" s="402">
        <f>IF(L38="","",IF(J38&gt;L38,1,0))</f>
        <v>1</v>
      </c>
      <c r="Z38" s="402">
        <f>IF(O38="","",IF(M38&gt;O38,1,0))</f>
        <v>1</v>
      </c>
      <c r="AA38" s="402">
        <f>IF(R38="","",IF(P38&gt;R38,1,0))</f>
      </c>
      <c r="AB38" s="402">
        <f>IF(Y38="","",IF(Y38=0,1,0))</f>
        <v>0</v>
      </c>
      <c r="AC38" s="402">
        <f>IF(Z38="","",IF(Z38=0,1,0))</f>
        <v>0</v>
      </c>
      <c r="AD38" s="402">
        <f>IF(AA38="","",IF(AA38=0,1,0))</f>
      </c>
      <c r="AE38" s="283">
        <f>IF(O38="","",IF(P38=0,J38+M38,J38+M38+P38))</f>
        <v>23</v>
      </c>
      <c r="AF38" s="284" t="s">
        <v>7</v>
      </c>
      <c r="AG38" s="285">
        <f>IF(O38="","",IF(R38="",L38+O38,L38+O38+R38))</f>
        <v>13</v>
      </c>
      <c r="AH38" s="283">
        <f>IF(Z38="","",IF(AA38="",Y38+Z38,Y38+Z38+AA38))</f>
        <v>2</v>
      </c>
      <c r="AI38" s="284" t="s">
        <v>7</v>
      </c>
      <c r="AJ38" s="285">
        <f>IF(Z38="","",IF(AD38="",AB38+AC38,AB38+AC38+AD38))</f>
        <v>0</v>
      </c>
      <c r="AK38" s="283">
        <f>IF(Z38="","",IF(AH38=2,2,IF(AJ38=2,0,"")))</f>
        <v>2</v>
      </c>
      <c r="AL38" s="284" t="s">
        <v>7</v>
      </c>
      <c r="AM38" s="285">
        <f>IF(AK38="","",IF(AJ38=2,2,0))</f>
        <v>0</v>
      </c>
    </row>
    <row r="39" spans="25:39" ht="12.75"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25:39" ht="12.75"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5:39" ht="12.75"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5:39" ht="12.75"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25:39" ht="12.75"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25:39" ht="12.75"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25:39" ht="12.75"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25:39" ht="12.75"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25:39" ht="12.75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25:39" ht="12.75"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25:39" ht="12.75"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25:39" ht="12.75"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25:39" ht="12.75"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25:39" ht="12.75"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25:39" ht="12.75"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5:39" ht="12.75"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25:39" ht="12.75"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</sheetData>
  <sheetProtection sheet="1" objects="1" scenarios="1" selectLockedCells="1"/>
  <mergeCells count="166">
    <mergeCell ref="B31:B32"/>
    <mergeCell ref="D2:T2"/>
    <mergeCell ref="H8:N8"/>
    <mergeCell ref="D17:D18"/>
    <mergeCell ref="D19:D20"/>
    <mergeCell ref="G19:I19"/>
    <mergeCell ref="J6:R6"/>
    <mergeCell ref="A4:I4"/>
    <mergeCell ref="J4:V4"/>
    <mergeCell ref="T20:V20"/>
    <mergeCell ref="D33:D34"/>
    <mergeCell ref="D25:D26"/>
    <mergeCell ref="D27:D28"/>
    <mergeCell ref="D29:D30"/>
    <mergeCell ref="D31:D32"/>
    <mergeCell ref="D35:D36"/>
    <mergeCell ref="C37:C38"/>
    <mergeCell ref="D37:D38"/>
    <mergeCell ref="C35:C36"/>
    <mergeCell ref="C33:C34"/>
    <mergeCell ref="C27:C28"/>
    <mergeCell ref="C21:C22"/>
    <mergeCell ref="C23:C24"/>
    <mergeCell ref="C31:C32"/>
    <mergeCell ref="C25:C26"/>
    <mergeCell ref="A31:A32"/>
    <mergeCell ref="B37:B38"/>
    <mergeCell ref="A23:A24"/>
    <mergeCell ref="B23:B24"/>
    <mergeCell ref="A29:A30"/>
    <mergeCell ref="B29:B30"/>
    <mergeCell ref="A27:A28"/>
    <mergeCell ref="B27:B28"/>
    <mergeCell ref="B25:B26"/>
    <mergeCell ref="A25:A26"/>
    <mergeCell ref="A37:A38"/>
    <mergeCell ref="A35:A36"/>
    <mergeCell ref="B35:B36"/>
    <mergeCell ref="A33:A34"/>
    <mergeCell ref="B33:B34"/>
    <mergeCell ref="T34:V34"/>
    <mergeCell ref="T24:V24"/>
    <mergeCell ref="T25:V25"/>
    <mergeCell ref="T26:V26"/>
    <mergeCell ref="T27:V27"/>
    <mergeCell ref="T31:V31"/>
    <mergeCell ref="T30:V30"/>
    <mergeCell ref="T29:V29"/>
    <mergeCell ref="T33:V33"/>
    <mergeCell ref="A21:A22"/>
    <mergeCell ref="B21:B22"/>
    <mergeCell ref="G22:I22"/>
    <mergeCell ref="A17:A18"/>
    <mergeCell ref="G20:I20"/>
    <mergeCell ref="B15:B16"/>
    <mergeCell ref="C15:C16"/>
    <mergeCell ref="G21:I21"/>
    <mergeCell ref="A15:A16"/>
    <mergeCell ref="A19:A20"/>
    <mergeCell ref="B19:B20"/>
    <mergeCell ref="C19:C20"/>
    <mergeCell ref="B17:B18"/>
    <mergeCell ref="C17:C18"/>
    <mergeCell ref="G18:I18"/>
    <mergeCell ref="J19:R19"/>
    <mergeCell ref="J17:R17"/>
    <mergeCell ref="T19:V19"/>
    <mergeCell ref="J21:R21"/>
    <mergeCell ref="D23:D24"/>
    <mergeCell ref="F15:F16"/>
    <mergeCell ref="C29:C30"/>
    <mergeCell ref="D21:D22"/>
    <mergeCell ref="D15:D16"/>
    <mergeCell ref="E15:E16"/>
    <mergeCell ref="J37:R37"/>
    <mergeCell ref="T37:V37"/>
    <mergeCell ref="G23:I23"/>
    <mergeCell ref="G24:I24"/>
    <mergeCell ref="G31:I31"/>
    <mergeCell ref="G32:I32"/>
    <mergeCell ref="G26:I26"/>
    <mergeCell ref="G27:I27"/>
    <mergeCell ref="G28:I28"/>
    <mergeCell ref="G29:I29"/>
    <mergeCell ref="G25:I25"/>
    <mergeCell ref="G33:I33"/>
    <mergeCell ref="T38:V38"/>
    <mergeCell ref="G35:I35"/>
    <mergeCell ref="J35:R35"/>
    <mergeCell ref="J29:R29"/>
    <mergeCell ref="J31:R31"/>
    <mergeCell ref="T35:V35"/>
    <mergeCell ref="T36:V36"/>
    <mergeCell ref="G36:I36"/>
    <mergeCell ref="G38:I38"/>
    <mergeCell ref="G37:I37"/>
    <mergeCell ref="G34:I34"/>
    <mergeCell ref="G30:I30"/>
    <mergeCell ref="J23:R23"/>
    <mergeCell ref="J27:R27"/>
    <mergeCell ref="J25:R25"/>
    <mergeCell ref="J33:R33"/>
    <mergeCell ref="Y15:Y16"/>
    <mergeCell ref="Z15:Z16"/>
    <mergeCell ref="AA15:AA16"/>
    <mergeCell ref="T22:V22"/>
    <mergeCell ref="T23:V23"/>
    <mergeCell ref="T32:V32"/>
    <mergeCell ref="T28:V28"/>
    <mergeCell ref="T21:V21"/>
    <mergeCell ref="AB15:AB16"/>
    <mergeCell ref="D1:S1"/>
    <mergeCell ref="A3:V3"/>
    <mergeCell ref="A14:S14"/>
    <mergeCell ref="T15:V16"/>
    <mergeCell ref="G10:Q10"/>
    <mergeCell ref="G6:I6"/>
    <mergeCell ref="G15:I16"/>
    <mergeCell ref="D8:E8"/>
    <mergeCell ref="R8:S8"/>
    <mergeCell ref="J15:R15"/>
    <mergeCell ref="T17:V17"/>
    <mergeCell ref="G17:I17"/>
    <mergeCell ref="T18:V18"/>
    <mergeCell ref="P16:R16"/>
    <mergeCell ref="M16:O16"/>
    <mergeCell ref="J16:L16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E27:AG27"/>
    <mergeCell ref="AH27:AJ27"/>
    <mergeCell ref="AK35:AM35"/>
    <mergeCell ref="AK27:AM27"/>
    <mergeCell ref="AE29:AG29"/>
    <mergeCell ref="AH29:AJ29"/>
    <mergeCell ref="AK29:AM29"/>
    <mergeCell ref="AE31:AG31"/>
    <mergeCell ref="AH31:AJ31"/>
    <mergeCell ref="F11:Q11"/>
    <mergeCell ref="AK31:AM31"/>
    <mergeCell ref="AE37:AG37"/>
    <mergeCell ref="AH37:AJ37"/>
    <mergeCell ref="AK37:AM37"/>
    <mergeCell ref="AE33:AG33"/>
    <mergeCell ref="AH33:AJ33"/>
    <mergeCell ref="AK33:AM33"/>
    <mergeCell ref="AE35:AG35"/>
    <mergeCell ref="AH35:AJ35"/>
  </mergeCells>
  <conditionalFormatting sqref="A14:S14">
    <cfRule type="cellIs" priority="1" dxfId="27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2">
      <selection activeCell="I35" sqref="I35:X36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9" max="42" width="0" style="0" hidden="1" customWidth="1"/>
    <col min="45" max="45" width="8.28125" style="0" bestFit="1" customWidth="1"/>
  </cols>
  <sheetData>
    <row r="1" spans="1:34" s="203" customFormat="1" ht="33.75" customHeight="1" thickTop="1">
      <c r="A1" s="763" t="s">
        <v>169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5"/>
      <c r="AD1" s="287"/>
      <c r="AE1" s="287"/>
      <c r="AF1" s="287"/>
      <c r="AG1" s="287"/>
      <c r="AH1" s="288"/>
    </row>
    <row r="2" spans="1:34" s="203" customFormat="1" ht="17.25" customHeight="1" thickBot="1">
      <c r="A2" s="766" t="s">
        <v>348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8"/>
      <c r="AD2" s="289"/>
      <c r="AE2" s="289"/>
      <c r="AF2" s="289"/>
      <c r="AG2" s="289"/>
      <c r="AH2" s="290"/>
    </row>
    <row r="3" spans="1:45" s="266" customFormat="1" ht="29.25" customHeight="1" thickBot="1" thickTop="1">
      <c r="A3" s="291" t="s">
        <v>170</v>
      </c>
      <c r="B3" s="292"/>
      <c r="C3" s="292"/>
      <c r="D3" s="292"/>
      <c r="E3" s="292"/>
      <c r="F3" s="293"/>
      <c r="G3" s="769" t="str">
        <f>Mannschaften!D2</f>
        <v>Deutsche Meisterschaft der Senioren  Feld   2010</v>
      </c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1"/>
      <c r="AD3" s="294"/>
      <c r="AE3" s="294"/>
      <c r="AF3" s="294"/>
      <c r="AG3" s="294"/>
      <c r="AH3" s="295"/>
      <c r="AL3" s="778" t="s">
        <v>9</v>
      </c>
      <c r="AM3" s="774" t="s">
        <v>10</v>
      </c>
      <c r="AN3" s="774" t="s">
        <v>10</v>
      </c>
      <c r="AO3" s="774" t="s">
        <v>10</v>
      </c>
      <c r="AP3" s="774" t="s">
        <v>10</v>
      </c>
      <c r="AQ3" s="587"/>
      <c r="AR3" s="587"/>
      <c r="AS3" s="587"/>
    </row>
    <row r="4" spans="1:45" s="266" customFormat="1" ht="22.5" customHeight="1" thickBot="1" thickTop="1">
      <c r="A4" s="296" t="s">
        <v>168</v>
      </c>
      <c r="B4" s="297"/>
      <c r="C4" s="297"/>
      <c r="D4" s="297"/>
      <c r="E4" s="297"/>
      <c r="F4" s="298"/>
      <c r="G4" s="769" t="str">
        <f>Mannschaften!H3</f>
        <v>M 45</v>
      </c>
      <c r="H4" s="770"/>
      <c r="I4" s="770"/>
      <c r="J4" s="770"/>
      <c r="K4" s="770"/>
      <c r="L4" s="770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300"/>
      <c r="AD4" s="294"/>
      <c r="AE4" s="294"/>
      <c r="AF4" s="294"/>
      <c r="AG4" s="294"/>
      <c r="AH4" s="295"/>
      <c r="AL4" s="779"/>
      <c r="AM4" s="775"/>
      <c r="AN4" s="775"/>
      <c r="AO4" s="775"/>
      <c r="AP4" s="775"/>
      <c r="AQ4" s="587"/>
      <c r="AR4" s="587"/>
      <c r="AS4" s="587"/>
    </row>
    <row r="5" spans="1:45" s="203" customFormat="1" ht="18" customHeight="1" thickBot="1" thickTop="1">
      <c r="A5" s="301" t="s">
        <v>174</v>
      </c>
      <c r="B5" s="302"/>
      <c r="C5" s="302"/>
      <c r="D5" s="303"/>
      <c r="E5" s="304"/>
      <c r="F5" s="776" t="str">
        <f>IF(VLOOKUP(AL5,PlanS,AM5,FALSE)="","",(VLOOKUP(AL5,PlanS,AM5,FALSE)))</f>
        <v>Finale</v>
      </c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305" t="s">
        <v>171</v>
      </c>
      <c r="S5" s="305"/>
      <c r="T5" s="305"/>
      <c r="U5" s="306"/>
      <c r="V5" s="305"/>
      <c r="W5" s="784" t="str">
        <f>Mannschaften!F4</f>
        <v>Waghäusel</v>
      </c>
      <c r="X5" s="785"/>
      <c r="Y5" s="785"/>
      <c r="Z5" s="785"/>
      <c r="AA5" s="785"/>
      <c r="AB5" s="785"/>
      <c r="AC5" s="786"/>
      <c r="AD5" s="307"/>
      <c r="AE5" s="307"/>
      <c r="AF5" s="307"/>
      <c r="AG5" s="307"/>
      <c r="AH5" s="308"/>
      <c r="AL5" s="2">
        <v>31</v>
      </c>
      <c r="AM5" s="589">
        <v>24</v>
      </c>
      <c r="AN5" s="589">
        <v>25</v>
      </c>
      <c r="AO5" s="589"/>
      <c r="AP5" s="589"/>
      <c r="AQ5" s="588"/>
      <c r="AR5" s="588"/>
      <c r="AS5" s="588"/>
    </row>
    <row r="6" spans="1:45" s="203" customFormat="1" ht="18" customHeight="1" thickTop="1">
      <c r="A6" s="417" t="s">
        <v>11</v>
      </c>
      <c r="B6" s="418"/>
      <c r="C6" s="418"/>
      <c r="D6" s="419"/>
      <c r="E6" s="420"/>
      <c r="F6" s="787" t="str">
        <f>IF(VLOOKUP(AL6,PlanS,AM6,FALSE)="","",(VLOOKUP(AL6,PlanS,AM6,FALSE)))</f>
        <v>HP Brosig</v>
      </c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97" t="s">
        <v>172</v>
      </c>
      <c r="S6" s="97"/>
      <c r="T6" s="97"/>
      <c r="U6" s="421"/>
      <c r="V6" s="97"/>
      <c r="W6" s="782">
        <f>IF(VLOOKUP(AL6,PlanS,AN6,FALSE)="","",(VLOOKUP(AL6,PlanS,AN6,FALSE)))</f>
        <v>40426</v>
      </c>
      <c r="X6" s="783"/>
      <c r="Y6" s="783"/>
      <c r="Z6" s="783"/>
      <c r="AA6" s="783"/>
      <c r="AB6" s="422"/>
      <c r="AC6" s="422"/>
      <c r="AD6" s="423"/>
      <c r="AE6" s="423"/>
      <c r="AF6" s="96"/>
      <c r="AG6" s="96"/>
      <c r="AH6" s="424"/>
      <c r="AL6" s="310">
        <f aca="true" t="shared" si="0" ref="AL6:AL11">AL5</f>
        <v>31</v>
      </c>
      <c r="AM6" s="590">
        <v>21</v>
      </c>
      <c r="AN6" s="590">
        <v>25</v>
      </c>
      <c r="AO6" s="589"/>
      <c r="AP6" s="589"/>
      <c r="AQ6" s="588"/>
      <c r="AR6" s="588"/>
      <c r="AS6" s="588"/>
    </row>
    <row r="7" spans="1:45" s="203" customFormat="1" ht="18" customHeight="1">
      <c r="A7" s="417" t="s">
        <v>13</v>
      </c>
      <c r="B7" s="418"/>
      <c r="C7" s="418"/>
      <c r="D7" s="419"/>
      <c r="E7" s="420"/>
      <c r="F7" s="78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418" t="s">
        <v>176</v>
      </c>
      <c r="S7" s="418"/>
      <c r="T7" s="418"/>
      <c r="U7" s="419"/>
      <c r="V7" s="420"/>
      <c r="W7" s="789">
        <f>IF(VLOOKUP(AL7,PlanS,AN7,FALSE)="","",(VLOOKUP(AL7,PlanS,AN7,FALSE)))</f>
        <v>0.5833333333333334</v>
      </c>
      <c r="X7" s="790"/>
      <c r="Y7" s="790"/>
      <c r="Z7" s="790"/>
      <c r="AA7" s="425" t="s">
        <v>12</v>
      </c>
      <c r="AB7" s="426"/>
      <c r="AC7" s="427"/>
      <c r="AD7" s="791"/>
      <c r="AE7" s="791"/>
      <c r="AF7" s="791"/>
      <c r="AG7" s="791"/>
      <c r="AH7" s="792"/>
      <c r="AL7" s="310">
        <f t="shared" si="0"/>
        <v>31</v>
      </c>
      <c r="AM7" s="590"/>
      <c r="AN7" s="590">
        <v>3</v>
      </c>
      <c r="AO7" s="589"/>
      <c r="AP7" s="589"/>
      <c r="AQ7" s="588"/>
      <c r="AR7" s="588"/>
      <c r="AS7" s="588"/>
    </row>
    <row r="8" spans="1:45" s="203" customFormat="1" ht="18" customHeight="1">
      <c r="A8" s="417" t="s">
        <v>14</v>
      </c>
      <c r="B8" s="418"/>
      <c r="C8" s="418"/>
      <c r="D8" s="419"/>
      <c r="E8" s="420"/>
      <c r="F8" s="787" t="str">
        <f>IF(VLOOKUP(AL8,PlanS,AM8,FALSE)="","",(VLOOKUP(AL8,PlanS,AM8,FALSE)))</f>
        <v>A. Breithaupt</v>
      </c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418" t="s">
        <v>177</v>
      </c>
      <c r="S8" s="418"/>
      <c r="T8" s="418"/>
      <c r="U8" s="419"/>
      <c r="V8" s="420"/>
      <c r="W8" s="793">
        <f>IF(VLOOKUP(AL8,PlanS,AN8,FALSE)="","",(VLOOKUP(AL8,PlanS,AN8,FALSE)))</f>
        <v>17</v>
      </c>
      <c r="X8" s="788"/>
      <c r="Y8" s="428"/>
      <c r="Z8" s="428"/>
      <c r="AA8" s="428"/>
      <c r="AB8" s="430" t="s">
        <v>173</v>
      </c>
      <c r="AC8" s="426"/>
      <c r="AD8" s="788">
        <f>IF(VLOOKUP(AL8,PlanS,AO8,FALSE)="","",(VLOOKUP(AL8,PlanS,AO8,FALSE)))</f>
        <v>1</v>
      </c>
      <c r="AE8" s="788"/>
      <c r="AF8" s="428"/>
      <c r="AG8" s="428"/>
      <c r="AH8" s="429"/>
      <c r="AL8" s="310">
        <f t="shared" si="0"/>
        <v>31</v>
      </c>
      <c r="AM8" s="590">
        <v>20</v>
      </c>
      <c r="AN8" s="590">
        <v>2</v>
      </c>
      <c r="AO8" s="589">
        <v>5</v>
      </c>
      <c r="AP8" s="589"/>
      <c r="AQ8" s="588"/>
      <c r="AR8" s="588"/>
      <c r="AS8" s="588"/>
    </row>
    <row r="9" spans="1:45" s="203" customFormat="1" ht="18" customHeight="1" thickBot="1">
      <c r="A9" s="431" t="s">
        <v>175</v>
      </c>
      <c r="B9" s="432"/>
      <c r="C9" s="432"/>
      <c r="D9" s="433"/>
      <c r="E9" s="434"/>
      <c r="F9" s="798" t="str">
        <f>IF(W9='[2]Gesamtplan So'!$V$17,'[2]Gesamtplan So'!$W$17,IF(W9='[2]Gesamtplan So'!$V$18,'[2]Gesamtplan So'!$W$18,F8))</f>
        <v>G. Wolf, A. Gruhlke</v>
      </c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97" t="s">
        <v>178</v>
      </c>
      <c r="S9" s="98"/>
      <c r="T9" s="98"/>
      <c r="U9" s="435"/>
      <c r="V9" s="436"/>
      <c r="W9" s="800">
        <f>IF(VLOOKUP(AL9,PlanS,AN9,FALSE)="","",(VLOOKUP(AL9,PlanS,AN9,FALSE)))</f>
        <v>31</v>
      </c>
      <c r="X9" s="801"/>
      <c r="Y9" s="437"/>
      <c r="Z9" s="437"/>
      <c r="AA9" s="437"/>
      <c r="AB9" s="437"/>
      <c r="AC9" s="437"/>
      <c r="AD9" s="437"/>
      <c r="AE9" s="437"/>
      <c r="AF9" s="437"/>
      <c r="AG9" s="437"/>
      <c r="AH9" s="438"/>
      <c r="AL9" s="310">
        <f t="shared" si="0"/>
        <v>31</v>
      </c>
      <c r="AM9" s="590">
        <f>AM8</f>
        <v>20</v>
      </c>
      <c r="AN9" s="590">
        <v>4</v>
      </c>
      <c r="AO9" s="589"/>
      <c r="AP9" s="589"/>
      <c r="AQ9" s="588"/>
      <c r="AR9" s="588"/>
      <c r="AS9" s="588"/>
    </row>
    <row r="10" spans="1:45" s="203" customFormat="1" ht="21.75" customHeight="1" thickBot="1" thickTop="1">
      <c r="A10" s="794" t="s">
        <v>15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313" t="s">
        <v>179</v>
      </c>
      <c r="P10" s="314" t="s">
        <v>180</v>
      </c>
      <c r="Q10" s="315" t="s">
        <v>181</v>
      </c>
      <c r="R10" s="794" t="s">
        <v>16</v>
      </c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6"/>
      <c r="AF10" s="313" t="s">
        <v>179</v>
      </c>
      <c r="AG10" s="314" t="s">
        <v>180</v>
      </c>
      <c r="AH10" s="315" t="s">
        <v>181</v>
      </c>
      <c r="AL10" s="310">
        <f t="shared" si="0"/>
        <v>31</v>
      </c>
      <c r="AM10" s="590"/>
      <c r="AN10" s="590"/>
      <c r="AO10" s="589"/>
      <c r="AP10" s="589"/>
      <c r="AQ10" s="588"/>
      <c r="AR10" s="588"/>
      <c r="AS10" s="588"/>
    </row>
    <row r="11" spans="1:43" s="203" customFormat="1" ht="18.75" customHeight="1" thickBot="1">
      <c r="A11" s="780" t="str">
        <f>IF(VLOOKUP(AL11,PlanS,AM11,FALSE)="","",(VLOOKUP(AL11,PlanS,AM11,FALSE)))</f>
        <v>ETV  Hamburg</v>
      </c>
      <c r="B11" s="781"/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316"/>
      <c r="P11" s="317"/>
      <c r="Q11" s="318"/>
      <c r="R11" s="780" t="str">
        <f>IF(VLOOKUP(AL11,PlanS,AN11,FALSE)="","",(VLOOKUP(AL11,PlanS,AN11,FALSE)))</f>
        <v>TV Klarenthal</v>
      </c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97"/>
      <c r="AF11" s="316"/>
      <c r="AG11" s="317"/>
      <c r="AH11" s="318"/>
      <c r="AL11" s="310">
        <f t="shared" si="0"/>
        <v>31</v>
      </c>
      <c r="AM11" s="590">
        <v>6</v>
      </c>
      <c r="AN11" s="590">
        <v>8</v>
      </c>
      <c r="AO11" s="589"/>
      <c r="AP11" s="589"/>
      <c r="AQ11" s="588"/>
    </row>
    <row r="12" spans="1:34" s="203" customFormat="1" ht="18" customHeight="1" thickBot="1" thickTop="1">
      <c r="A12" s="319" t="s">
        <v>17</v>
      </c>
      <c r="B12" s="320" t="s">
        <v>18</v>
      </c>
      <c r="C12" s="321" t="s">
        <v>19</v>
      </c>
      <c r="D12" s="322"/>
      <c r="E12" s="323" t="s">
        <v>20</v>
      </c>
      <c r="F12" s="324"/>
      <c r="G12" s="324"/>
      <c r="H12" s="324"/>
      <c r="I12" s="324"/>
      <c r="J12" s="324"/>
      <c r="K12" s="324"/>
      <c r="L12" s="324"/>
      <c r="M12" s="324"/>
      <c r="N12" s="324"/>
      <c r="O12" s="325"/>
      <c r="P12" s="326"/>
      <c r="Q12" s="327"/>
      <c r="R12" s="319" t="s">
        <v>17</v>
      </c>
      <c r="S12" s="320" t="s">
        <v>18</v>
      </c>
      <c r="T12" s="321" t="s">
        <v>19</v>
      </c>
      <c r="U12" s="322"/>
      <c r="V12" s="323" t="s">
        <v>20</v>
      </c>
      <c r="W12" s="324"/>
      <c r="X12" s="324"/>
      <c r="Y12" s="324"/>
      <c r="Z12" s="324"/>
      <c r="AA12" s="324"/>
      <c r="AB12" s="324"/>
      <c r="AC12" s="324"/>
      <c r="AD12" s="324"/>
      <c r="AE12" s="324"/>
      <c r="AF12" s="325"/>
      <c r="AG12" s="326"/>
      <c r="AH12" s="327"/>
    </row>
    <row r="13" spans="1:34" s="337" customFormat="1" ht="18" customHeight="1" hidden="1" thickBot="1">
      <c r="A13" s="328"/>
      <c r="B13" s="329"/>
      <c r="C13" s="330"/>
      <c r="D13" s="331"/>
      <c r="E13" s="332">
        <f>HLOOKUP(A11,Mannschaften!B10:AF12,3,FALSE)</f>
        <v>10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4"/>
      <c r="P13" s="335"/>
      <c r="Q13" s="336"/>
      <c r="R13" s="328"/>
      <c r="S13" s="329"/>
      <c r="T13" s="330"/>
      <c r="U13" s="331"/>
      <c r="V13" s="332">
        <f>HLOOKUP(R11,Mannschaften!B10:AF13,3,FALSE)</f>
        <v>70</v>
      </c>
      <c r="W13" s="333"/>
      <c r="X13" s="333"/>
      <c r="Y13" s="333"/>
      <c r="Z13" s="333"/>
      <c r="AA13" s="333"/>
      <c r="AB13" s="333"/>
      <c r="AC13" s="333"/>
      <c r="AD13" s="333"/>
      <c r="AE13" s="333"/>
      <c r="AF13" s="334"/>
      <c r="AG13" s="335"/>
      <c r="AH13" s="336"/>
    </row>
    <row r="14" spans="1:34" s="203" customFormat="1" ht="18" customHeight="1" thickTop="1">
      <c r="A14" s="338">
        <f>IF($A$11="","",IF(VLOOKUP(D14,Mannschaften!$B$13:$E$141,2,FALSE)=0,"",(VLOOKUP(D14,Mannschaften!$B$13:$E$141,2,FALSE))))</f>
      </c>
      <c r="B14" s="342" t="str">
        <f>IF($A$11="","",IF(VLOOKUP(D14,Mannschaften!$B$13:$E$141,3,FALSE)=0,"",(VLOOKUP(D14,Mannschaften!$B$13:$E$141,3,FALSE))))</f>
        <v>X</v>
      </c>
      <c r="C14" s="99" t="s">
        <v>325</v>
      </c>
      <c r="D14" s="340">
        <f>E13</f>
        <v>10</v>
      </c>
      <c r="E14" s="755" t="str">
        <f>IF($A$11="","",IF(VLOOKUP(D14,Mannschaften!$B$13:$E$141,4,FALSE)=0,"",(VLOOKUP(D14,Mannschaften!$B$13:$E$141,4,FALSE))))</f>
        <v>Schneider, Uwe</v>
      </c>
      <c r="F14" s="756"/>
      <c r="G14" s="756"/>
      <c r="H14" s="756"/>
      <c r="I14" s="756"/>
      <c r="J14" s="756"/>
      <c r="K14" s="756"/>
      <c r="L14" s="756"/>
      <c r="M14" s="756"/>
      <c r="N14" s="757"/>
      <c r="O14" s="100"/>
      <c r="P14" s="101"/>
      <c r="Q14" s="102"/>
      <c r="R14" s="338">
        <f>IF($R$11="","",IF(VLOOKUP(U14,Mannschaften!$B$13:$E$141,2,FALSE)=0,"",(VLOOKUP(U14,Mannschaften!$B$13:$E$141,2,FALSE))))</f>
      </c>
      <c r="S14" s="339">
        <f>IF($R$11="","",IF(VLOOKUP(U14,Mannschaften!$B$13:$E$141,3,FALSE)=0,"",(VLOOKUP(U14,Mannschaften!$B$13:$E$141,3,FALSE))))</f>
      </c>
      <c r="T14" s="99" t="s">
        <v>325</v>
      </c>
      <c r="U14" s="340">
        <f>V13</f>
        <v>70</v>
      </c>
      <c r="V14" s="755" t="str">
        <f>IF($R$11="","",IF(VLOOKUP(U14,Mannschaften!$B$13:$E$141,4,FALSE)=0,"",(VLOOKUP(U14,Mannschaften!$B$13:$E$141,4,FALSE))))</f>
        <v>Braun, Dietmar</v>
      </c>
      <c r="W14" s="756"/>
      <c r="X14" s="756"/>
      <c r="Y14" s="756"/>
      <c r="Z14" s="756"/>
      <c r="AA14" s="756"/>
      <c r="AB14" s="756"/>
      <c r="AC14" s="756"/>
      <c r="AD14" s="756"/>
      <c r="AE14" s="757"/>
      <c r="AF14" s="100"/>
      <c r="AG14" s="101"/>
      <c r="AH14" s="102"/>
    </row>
    <row r="15" spans="1:34" s="203" customFormat="1" ht="18" customHeight="1">
      <c r="A15" s="341">
        <f>IF($A$11="","",IF(VLOOKUP(D15,Mannschaften!$B$13:$E$141,2,FALSE)=0,"",(VLOOKUP(D15,Mannschaften!$B$13:$E$141,2,FALSE))))</f>
      </c>
      <c r="B15" s="342">
        <f>IF($A$11="","",IF(VLOOKUP(D15,Mannschaften!$B$13:$E$141,3,FALSE)=0,"",(VLOOKUP(D15,Mannschaften!$B$13:$E$141,3,FALSE))))</f>
      </c>
      <c r="C15" s="103" t="s">
        <v>325</v>
      </c>
      <c r="D15" s="309">
        <f>D14+1</f>
        <v>11</v>
      </c>
      <c r="E15" s="749" t="str">
        <f>IF($A$11="","",IF(VLOOKUP(D15,Mannschaften!$B$13:$E$141,4,FALSE)=0,"",(VLOOKUP(D15,Mannschaften!$B$13:$E$141,4,FALSE))))</f>
        <v>Holst, Thorsten</v>
      </c>
      <c r="F15" s="750"/>
      <c r="G15" s="750"/>
      <c r="H15" s="750"/>
      <c r="I15" s="750"/>
      <c r="J15" s="750"/>
      <c r="K15" s="750"/>
      <c r="L15" s="750"/>
      <c r="M15" s="750"/>
      <c r="N15" s="751"/>
      <c r="O15" s="104"/>
      <c r="P15" s="105"/>
      <c r="Q15" s="106"/>
      <c r="R15" s="341">
        <f>IF($R$11="","",IF(VLOOKUP(U15,Mannschaften!$B$13:$E$141,2,FALSE)=0,"",(VLOOKUP(U15,Mannschaften!$B$13:$E$141,2,FALSE))))</f>
      </c>
      <c r="S15" s="342">
        <f>IF($R$11="","",IF(VLOOKUP(U15,Mannschaften!$B$13:$E$141,3,FALSE)=0,"",(VLOOKUP(U15,Mannschaften!$B$13:$E$141,3,FALSE))))</f>
      </c>
      <c r="T15" s="103" t="s">
        <v>325</v>
      </c>
      <c r="U15" s="309">
        <f>U14+1</f>
        <v>71</v>
      </c>
      <c r="V15" s="749" t="str">
        <f>IF($R$11="","",IF(VLOOKUP(U15,Mannschaften!$B$13:$E$141,4,FALSE)=0,"",(VLOOKUP(U15,Mannschaften!$B$13:$E$141,4,FALSE))))</f>
        <v>Brust, Jürgen</v>
      </c>
      <c r="W15" s="750"/>
      <c r="X15" s="750"/>
      <c r="Y15" s="750"/>
      <c r="Z15" s="750"/>
      <c r="AA15" s="750"/>
      <c r="AB15" s="750"/>
      <c r="AC15" s="750"/>
      <c r="AD15" s="750"/>
      <c r="AE15" s="751"/>
      <c r="AF15" s="104"/>
      <c r="AG15" s="105"/>
      <c r="AH15" s="106"/>
    </row>
    <row r="16" spans="1:34" s="203" customFormat="1" ht="18" customHeight="1">
      <c r="A16" s="341">
        <f>IF($A$11="","",IF(VLOOKUP(D16,Mannschaften!$B$13:$E$141,2,FALSE)=0,"",(VLOOKUP(D16,Mannschaften!$B$13:$E$141,2,FALSE))))</f>
      </c>
      <c r="B16" s="342">
        <f>IF($A$11="","",IF(VLOOKUP(D16,Mannschaften!$B$13:$E$141,3,FALSE)=0,"",(VLOOKUP(D16,Mannschaften!$B$13:$E$141,3,FALSE))))</f>
      </c>
      <c r="C16" s="107" t="s">
        <v>325</v>
      </c>
      <c r="D16" s="309">
        <f aca="true" t="shared" si="1" ref="D16:D25">D15+1</f>
        <v>12</v>
      </c>
      <c r="E16" s="749" t="str">
        <f>IF($A$11="","",IF(VLOOKUP(D16,Mannschaften!$B$13:$E$141,4,FALSE)=0,"",(VLOOKUP(D16,Mannschaften!$B$13:$E$141,4,FALSE))))</f>
        <v>Schulte am Hülse, Lutz</v>
      </c>
      <c r="F16" s="750"/>
      <c r="G16" s="750"/>
      <c r="H16" s="750"/>
      <c r="I16" s="750"/>
      <c r="J16" s="750"/>
      <c r="K16" s="750"/>
      <c r="L16" s="750"/>
      <c r="M16" s="750"/>
      <c r="N16" s="751"/>
      <c r="O16" s="104"/>
      <c r="P16" s="108"/>
      <c r="Q16" s="106"/>
      <c r="R16" s="341">
        <f>IF($R$11="","",IF(VLOOKUP(U16,Mannschaften!$B$13:$E$141,2,FALSE)=0,"",(VLOOKUP(U16,Mannschaften!$B$13:$E$141,2,FALSE))))</f>
      </c>
      <c r="S16" s="342">
        <f>IF($R$11="","",IF(VLOOKUP(U16,Mannschaften!$B$13:$E$141,3,FALSE)=0,"",(VLOOKUP(U16,Mannschaften!$B$13:$E$141,3,FALSE))))</f>
      </c>
      <c r="T16" s="107"/>
      <c r="U16" s="309">
        <f aca="true" t="shared" si="2" ref="U16:U25">U15+1</f>
        <v>72</v>
      </c>
      <c r="V16" s="749" t="str">
        <f>IF($R$11="","",IF(VLOOKUP(U16,Mannschaften!$B$13:$E$141,4,FALSE)=0,"",(VLOOKUP(U16,Mannschaften!$B$13:$E$141,4,FALSE))))</f>
        <v>Geibel, Peter</v>
      </c>
      <c r="W16" s="750"/>
      <c r="X16" s="750"/>
      <c r="Y16" s="750"/>
      <c r="Z16" s="750"/>
      <c r="AA16" s="750"/>
      <c r="AB16" s="750"/>
      <c r="AC16" s="750"/>
      <c r="AD16" s="750"/>
      <c r="AE16" s="751"/>
      <c r="AF16" s="104"/>
      <c r="AG16" s="108"/>
      <c r="AH16" s="106"/>
    </row>
    <row r="17" spans="1:34" s="203" customFormat="1" ht="18" customHeight="1">
      <c r="A17" s="341">
        <f>IF($A$11="","",IF(VLOOKUP(D17,Mannschaften!$B$13:$E$141,2,FALSE)=0,"",(VLOOKUP(D17,Mannschaften!$B$13:$E$141,2,FALSE))))</f>
      </c>
      <c r="B17" s="342">
        <f>IF($A$11="","",IF(VLOOKUP(D17,Mannschaften!$B$13:$E$141,3,FALSE)=0,"",(VLOOKUP(D17,Mannschaften!$B$13:$E$141,3,FALSE))))</f>
      </c>
      <c r="C17" s="109" t="s">
        <v>325</v>
      </c>
      <c r="D17" s="309">
        <f t="shared" si="1"/>
        <v>13</v>
      </c>
      <c r="E17" s="749" t="str">
        <f>IF($A$11="","",IF(VLOOKUP(D17,Mannschaften!$B$13:$E$141,4,FALSE)=0,"",(VLOOKUP(D17,Mannschaften!$B$13:$E$141,4,FALSE))))</f>
        <v>Voss, Uwe</v>
      </c>
      <c r="F17" s="750"/>
      <c r="G17" s="750"/>
      <c r="H17" s="750"/>
      <c r="I17" s="750"/>
      <c r="J17" s="750"/>
      <c r="K17" s="750"/>
      <c r="L17" s="750"/>
      <c r="M17" s="750"/>
      <c r="N17" s="751"/>
      <c r="O17" s="104"/>
      <c r="P17" s="108"/>
      <c r="Q17" s="106"/>
      <c r="R17" s="341">
        <f>IF($R$11="","",IF(VLOOKUP(U17,Mannschaften!$B$13:$E$141,2,FALSE)=0,"",(VLOOKUP(U17,Mannschaften!$B$13:$E$141,2,FALSE))))</f>
      </c>
      <c r="S17" s="342">
        <f>IF($R$11="","",IF(VLOOKUP(U17,Mannschaften!$B$13:$E$141,3,FALSE)=0,"",(VLOOKUP(U17,Mannschaften!$B$13:$E$141,3,FALSE))))</f>
      </c>
      <c r="T17" s="109" t="s">
        <v>325</v>
      </c>
      <c r="U17" s="309">
        <f t="shared" si="2"/>
        <v>73</v>
      </c>
      <c r="V17" s="749" t="str">
        <f>IF($R$11="","",IF(VLOOKUP(U17,Mannschaften!$B$13:$E$141,4,FALSE)=0,"",(VLOOKUP(U17,Mannschaften!$B$13:$E$141,4,FALSE))))</f>
        <v>Haßler, Erik</v>
      </c>
      <c r="W17" s="750"/>
      <c r="X17" s="750"/>
      <c r="Y17" s="750"/>
      <c r="Z17" s="750"/>
      <c r="AA17" s="750"/>
      <c r="AB17" s="750"/>
      <c r="AC17" s="750"/>
      <c r="AD17" s="750"/>
      <c r="AE17" s="751"/>
      <c r="AF17" s="104"/>
      <c r="AG17" s="108"/>
      <c r="AH17" s="106"/>
    </row>
    <row r="18" spans="1:34" s="203" customFormat="1" ht="18" customHeight="1">
      <c r="A18" s="341">
        <f>IF($A$11="","",IF(VLOOKUP(D18,Mannschaften!$B$13:$E$141,2,FALSE)=0,"",(VLOOKUP(D18,Mannschaften!$B$13:$E$141,2,FALSE))))</f>
      </c>
      <c r="B18" s="342">
        <f>IF($A$11="","",IF(VLOOKUP(D18,Mannschaften!$B$13:$E$141,3,FALSE)=0,"",(VLOOKUP(D18,Mannschaften!$B$13:$E$141,3,FALSE))))</f>
      </c>
      <c r="C18" s="110" t="s">
        <v>325</v>
      </c>
      <c r="D18" s="309">
        <f t="shared" si="1"/>
        <v>14</v>
      </c>
      <c r="E18" s="749" t="str">
        <f>IF($A$11="","",IF(VLOOKUP(D18,Mannschaften!$B$13:$E$141,4,FALSE)=0,"",(VLOOKUP(D18,Mannschaften!$B$13:$E$141,4,FALSE))))</f>
        <v>Koth, Thorsten</v>
      </c>
      <c r="F18" s="750"/>
      <c r="G18" s="750"/>
      <c r="H18" s="750"/>
      <c r="I18" s="750"/>
      <c r="J18" s="750"/>
      <c r="K18" s="750"/>
      <c r="L18" s="750"/>
      <c r="M18" s="750"/>
      <c r="N18" s="751"/>
      <c r="O18" s="104"/>
      <c r="P18" s="111"/>
      <c r="Q18" s="106"/>
      <c r="R18" s="341">
        <f>IF($R$11="","",IF(VLOOKUP(U18,Mannschaften!$B$13:$E$141,2,FALSE)=0,"",(VLOOKUP(U18,Mannschaften!$B$13:$E$141,2,FALSE))))</f>
      </c>
      <c r="S18" s="342">
        <f>IF($R$11="","",IF(VLOOKUP(U18,Mannschaften!$B$13:$E$141,3,FALSE)=0,"",(VLOOKUP(U18,Mannschaften!$B$13:$E$141,3,FALSE))))</f>
      </c>
      <c r="T18" s="110" t="s">
        <v>325</v>
      </c>
      <c r="U18" s="309">
        <f t="shared" si="2"/>
        <v>74</v>
      </c>
      <c r="V18" s="749" t="str">
        <f>IF($R$11="","",IF(VLOOKUP(U18,Mannschaften!$B$13:$E$141,4,FALSE)=0,"",(VLOOKUP(U18,Mannschaften!$B$13:$E$141,4,FALSE))))</f>
        <v>Kneip, Swen</v>
      </c>
      <c r="W18" s="750"/>
      <c r="X18" s="750"/>
      <c r="Y18" s="750"/>
      <c r="Z18" s="750"/>
      <c r="AA18" s="750"/>
      <c r="AB18" s="750"/>
      <c r="AC18" s="750"/>
      <c r="AD18" s="750"/>
      <c r="AE18" s="751"/>
      <c r="AF18" s="104"/>
      <c r="AG18" s="111"/>
      <c r="AH18" s="106"/>
    </row>
    <row r="19" spans="1:34" s="203" customFormat="1" ht="18" customHeight="1">
      <c r="A19" s="341">
        <f>IF($A$11="","",IF(VLOOKUP(D19,Mannschaften!$B$13:$E$141,2,FALSE)=0,"",(VLOOKUP(D19,Mannschaften!$B$13:$E$141,2,FALSE))))</f>
      </c>
      <c r="B19" s="342">
        <f>IF($A$11="","",IF(VLOOKUP(D19,Mannschaften!$B$13:$E$141,3,FALSE)=0,"",(VLOOKUP(D19,Mannschaften!$B$13:$E$141,3,FALSE))))</f>
      </c>
      <c r="C19" s="109"/>
      <c r="D19" s="309">
        <f t="shared" si="1"/>
        <v>15</v>
      </c>
      <c r="E19" s="749" t="str">
        <f>IF($A$11="","",IF(VLOOKUP(D19,Mannschaften!$B$13:$E$141,4,FALSE)=0,"",(VLOOKUP(D19,Mannschaften!$B$13:$E$141,4,FALSE))))</f>
        <v>Meyer-Weichelt, Volker</v>
      </c>
      <c r="F19" s="750"/>
      <c r="G19" s="750"/>
      <c r="H19" s="750"/>
      <c r="I19" s="750"/>
      <c r="J19" s="750"/>
      <c r="K19" s="750"/>
      <c r="L19" s="750"/>
      <c r="M19" s="750"/>
      <c r="N19" s="751"/>
      <c r="O19" s="104"/>
      <c r="P19" s="108"/>
      <c r="Q19" s="106"/>
      <c r="R19" s="341">
        <f>IF($R$11="","",IF(VLOOKUP(U19,Mannschaften!$B$13:$E$141,2,FALSE)=0,"",(VLOOKUP(U19,Mannschaften!$B$13:$E$141,2,FALSE))))</f>
      </c>
      <c r="S19" s="342" t="str">
        <f>IF($R$11="","",IF(VLOOKUP(U19,Mannschaften!$B$13:$E$141,3,FALSE)=0,"",(VLOOKUP(U19,Mannschaften!$B$13:$E$141,3,FALSE))))</f>
        <v>X</v>
      </c>
      <c r="T19" s="109" t="s">
        <v>325</v>
      </c>
      <c r="U19" s="309">
        <f t="shared" si="2"/>
        <v>75</v>
      </c>
      <c r="V19" s="749" t="str">
        <f>IF($R$11="","",IF(VLOOKUP(U19,Mannschaften!$B$13:$E$141,4,FALSE)=0,"",(VLOOKUP(U19,Mannschaften!$B$13:$E$141,4,FALSE))))</f>
        <v>Kneip, Lutz</v>
      </c>
      <c r="W19" s="750"/>
      <c r="X19" s="750"/>
      <c r="Y19" s="750"/>
      <c r="Z19" s="750"/>
      <c r="AA19" s="750"/>
      <c r="AB19" s="750"/>
      <c r="AC19" s="750"/>
      <c r="AD19" s="750"/>
      <c r="AE19" s="751"/>
      <c r="AF19" s="104"/>
      <c r="AG19" s="108"/>
      <c r="AH19" s="106"/>
    </row>
    <row r="20" spans="1:34" s="203" customFormat="1" ht="18" customHeight="1">
      <c r="A20" s="341">
        <f>IF($A$11="","",IF(VLOOKUP(D20,Mannschaften!$B$13:$E$141,2,FALSE)=0,"",(VLOOKUP(D20,Mannschaften!$B$13:$E$141,2,FALSE))))</f>
      </c>
      <c r="B20" s="342">
        <f>IF($A$11="","",IF(VLOOKUP(D20,Mannschaften!$B$13:$E$141,3,FALSE)=0,"",(VLOOKUP(D20,Mannschaften!$B$13:$E$141,3,FALSE))))</f>
      </c>
      <c r="C20" s="109"/>
      <c r="D20" s="309">
        <f t="shared" si="1"/>
        <v>16</v>
      </c>
      <c r="E20" s="749" t="str">
        <f>IF($A$11="","",IF(VLOOKUP(D20,Mannschaften!$B$13:$E$141,4,FALSE)=0,"",(VLOOKUP(D20,Mannschaften!$B$13:$E$141,4,FALSE))))</f>
        <v>Vahle, Ralf</v>
      </c>
      <c r="F20" s="750"/>
      <c r="G20" s="750"/>
      <c r="H20" s="750"/>
      <c r="I20" s="750"/>
      <c r="J20" s="750"/>
      <c r="K20" s="750"/>
      <c r="L20" s="750"/>
      <c r="M20" s="750"/>
      <c r="N20" s="751"/>
      <c r="O20" s="104"/>
      <c r="P20" s="108"/>
      <c r="Q20" s="106"/>
      <c r="R20" s="341">
        <f>IF($R$11="","",IF(VLOOKUP(U20,Mannschaften!$B$13:$E$141,2,FALSE)=0,"",(VLOOKUP(U20,Mannschaften!$B$13:$E$141,2,FALSE))))</f>
      </c>
      <c r="S20" s="342">
        <f>IF($R$11="","",IF(VLOOKUP(U20,Mannschaften!$B$13:$E$141,3,FALSE)=0,"",(VLOOKUP(U20,Mannschaften!$B$13:$E$141,3,FALSE))))</f>
      </c>
      <c r="T20" s="109" t="s">
        <v>325</v>
      </c>
      <c r="U20" s="309">
        <f t="shared" si="2"/>
        <v>76</v>
      </c>
      <c r="V20" s="749" t="str">
        <f>IF($R$11="","",IF(VLOOKUP(U20,Mannschaften!$B$13:$E$141,4,FALSE)=0,"",(VLOOKUP(U20,Mannschaften!$B$13:$E$141,4,FALSE))))</f>
        <v>Utta, Frank</v>
      </c>
      <c r="W20" s="750"/>
      <c r="X20" s="750"/>
      <c r="Y20" s="750"/>
      <c r="Z20" s="750"/>
      <c r="AA20" s="750"/>
      <c r="AB20" s="750"/>
      <c r="AC20" s="750"/>
      <c r="AD20" s="750"/>
      <c r="AE20" s="751"/>
      <c r="AF20" s="104"/>
      <c r="AG20" s="108"/>
      <c r="AH20" s="106"/>
    </row>
    <row r="21" spans="1:34" s="203" customFormat="1" ht="18" customHeight="1">
      <c r="A21" s="341">
        <f>IF($A$11="","",IF(VLOOKUP(D21,Mannschaften!$B$13:$E$141,2,FALSE)=0,"",(VLOOKUP(D21,Mannschaften!$B$13:$E$141,2,FALSE))))</f>
      </c>
      <c r="B21" s="342">
        <f>IF($A$11="","",IF(VLOOKUP(D21,Mannschaften!$B$13:$E$141,3,FALSE)=0,"",(VLOOKUP(D21,Mannschaften!$B$13:$E$141,3,FALSE))))</f>
      </c>
      <c r="C21" s="109"/>
      <c r="D21" s="309">
        <f t="shared" si="1"/>
        <v>17</v>
      </c>
      <c r="E21" s="749">
        <f>IF($A$11="","",IF(VLOOKUP(D21,Mannschaften!$B$13:$E$141,4,FALSE)=0,"",(VLOOKUP(D21,Mannschaften!$B$13:$E$141,4,FALSE))))</f>
      </c>
      <c r="F21" s="750"/>
      <c r="G21" s="750"/>
      <c r="H21" s="750"/>
      <c r="I21" s="750"/>
      <c r="J21" s="750"/>
      <c r="K21" s="750"/>
      <c r="L21" s="750"/>
      <c r="M21" s="750"/>
      <c r="N21" s="751"/>
      <c r="O21" s="104"/>
      <c r="P21" s="108"/>
      <c r="Q21" s="106"/>
      <c r="R21" s="341">
        <f>IF($R$11="","",IF(VLOOKUP(U21,Mannschaften!$B$13:$E$141,2,FALSE)=0,"",(VLOOKUP(U21,Mannschaften!$B$13:$E$141,2,FALSE))))</f>
      </c>
      <c r="S21" s="342">
        <f>IF($R$11="","",IF(VLOOKUP(U21,Mannschaften!$B$13:$E$141,3,FALSE)=0,"",(VLOOKUP(U21,Mannschaften!$B$13:$E$141,3,FALSE))))</f>
      </c>
      <c r="T21" s="109" t="s">
        <v>325</v>
      </c>
      <c r="U21" s="309">
        <f t="shared" si="2"/>
        <v>77</v>
      </c>
      <c r="V21" s="749" t="str">
        <f>IF($R$11="","",IF(VLOOKUP(U21,Mannschaften!$B$13:$E$141,4,FALSE)=0,"",(VLOOKUP(U21,Mannschaften!$B$13:$E$141,4,FALSE))))</f>
        <v>Wagner, Stephan</v>
      </c>
      <c r="W21" s="750"/>
      <c r="X21" s="750"/>
      <c r="Y21" s="750"/>
      <c r="Z21" s="750"/>
      <c r="AA21" s="750"/>
      <c r="AB21" s="750"/>
      <c r="AC21" s="750"/>
      <c r="AD21" s="750"/>
      <c r="AE21" s="751"/>
      <c r="AF21" s="104"/>
      <c r="AG21" s="108"/>
      <c r="AH21" s="106"/>
    </row>
    <row r="22" spans="1:34" s="203" customFormat="1" ht="18" customHeight="1">
      <c r="A22" s="341">
        <f>IF($A$11="","",IF(VLOOKUP(D22,Mannschaften!$B$13:$E$141,2,FALSE)=0,"",(VLOOKUP(D22,Mannschaften!$B$13:$E$141,2,FALSE))))</f>
      </c>
      <c r="B22" s="342">
        <f>IF($A$11="","",IF(VLOOKUP(D22,Mannschaften!$B$13:$E$141,3,FALSE)=0,"",(VLOOKUP(D22,Mannschaften!$B$13:$E$141,3,FALSE))))</f>
      </c>
      <c r="C22" s="109"/>
      <c r="D22" s="309">
        <f t="shared" si="1"/>
        <v>18</v>
      </c>
      <c r="E22" s="749">
        <f>IF($A$11="","",IF(VLOOKUP(D22,Mannschaften!$B$13:$E$141,4,FALSE)=0,"",(VLOOKUP(D22,Mannschaften!$B$13:$E$141,4,FALSE))))</f>
      </c>
      <c r="F22" s="750"/>
      <c r="G22" s="750"/>
      <c r="H22" s="750"/>
      <c r="I22" s="750"/>
      <c r="J22" s="750"/>
      <c r="K22" s="750"/>
      <c r="L22" s="750"/>
      <c r="M22" s="750"/>
      <c r="N22" s="751"/>
      <c r="O22" s="104"/>
      <c r="P22" s="112"/>
      <c r="Q22" s="113"/>
      <c r="R22" s="341">
        <f>IF($R$11="","",IF(VLOOKUP(U22,Mannschaften!$B$13:$E$141,2,FALSE)=0,"",(VLOOKUP(U22,Mannschaften!$B$13:$E$141,2,FALSE))))</f>
      </c>
      <c r="S22" s="342">
        <f>IF($R$11="","",IF(VLOOKUP(U22,Mannschaften!$B$13:$E$141,3,FALSE)=0,"",(VLOOKUP(U22,Mannschaften!$B$13:$E$141,3,FALSE))))</f>
      </c>
      <c r="T22" s="109"/>
      <c r="U22" s="309">
        <f t="shared" si="2"/>
        <v>78</v>
      </c>
      <c r="V22" s="749">
        <f>IF($R$11="","",IF(VLOOKUP(U22,Mannschaften!$B$13:$E$141,4,FALSE)=0,"",(VLOOKUP(U22,Mannschaften!$B$13:$E$141,4,FALSE))))</f>
      </c>
      <c r="W22" s="750"/>
      <c r="X22" s="750"/>
      <c r="Y22" s="750"/>
      <c r="Z22" s="750"/>
      <c r="AA22" s="750"/>
      <c r="AB22" s="750"/>
      <c r="AC22" s="750"/>
      <c r="AD22" s="750"/>
      <c r="AE22" s="751"/>
      <c r="AF22" s="104"/>
      <c r="AG22" s="112"/>
      <c r="AH22" s="113"/>
    </row>
    <row r="23" spans="1:34" s="203" customFormat="1" ht="18" customHeight="1" thickBot="1">
      <c r="A23" s="343">
        <f>IF($A$11="","",IF(VLOOKUP(D23,Mannschaften!$B$13:$E$141,2,FALSE)=0,"",(VLOOKUP(D23,Mannschaften!$B$13:$E$141,2,FALSE))))</f>
      </c>
      <c r="B23" s="344">
        <f>IF($A$11="","",IF(VLOOKUP(D23,Mannschaften!$B$13:$E$141,3,FALSE)=0,"",(VLOOKUP(D23,Mannschaften!$B$13:$E$141,3,FALSE))))</f>
      </c>
      <c r="C23" s="114"/>
      <c r="D23" s="312">
        <f t="shared" si="1"/>
        <v>19</v>
      </c>
      <c r="E23" s="752">
        <f>IF($A$11="","",IF(VLOOKUP(D23,Mannschaften!$B$13:$E$141,4,FALSE)=0,"",(VLOOKUP(D23,Mannschaften!$B$13:$E$141,4,FALSE))))</f>
      </c>
      <c r="F23" s="753"/>
      <c r="G23" s="753"/>
      <c r="H23" s="753"/>
      <c r="I23" s="753"/>
      <c r="J23" s="753"/>
      <c r="K23" s="753"/>
      <c r="L23" s="753"/>
      <c r="M23" s="753"/>
      <c r="N23" s="754"/>
      <c r="O23" s="115"/>
      <c r="P23" s="116"/>
      <c r="Q23" s="117"/>
      <c r="R23" s="343">
        <f>IF($R$11="","",IF(VLOOKUP(U23,Mannschaften!$B$13:$E$141,2,FALSE)=0,"",(VLOOKUP(U23,Mannschaften!$B$13:$E$141,2,FALSE))))</f>
      </c>
      <c r="S23" s="344">
        <f>IF($R$11="","",IF(VLOOKUP(U23,Mannschaften!$B$13:$E$141,3,FALSE)=0,"",(VLOOKUP(U23,Mannschaften!$B$13:$E$141,3,FALSE))))</f>
      </c>
      <c r="T23" s="114"/>
      <c r="U23" s="312">
        <f t="shared" si="2"/>
        <v>79</v>
      </c>
      <c r="V23" s="752">
        <f>IF($R$11="","",IF(VLOOKUP(U23,Mannschaften!$B$13:$E$141,4,FALSE)=0,"",(VLOOKUP(U23,Mannschaften!$B$13:$E$141,4,FALSE))))</f>
      </c>
      <c r="W23" s="753"/>
      <c r="X23" s="753"/>
      <c r="Y23" s="753"/>
      <c r="Z23" s="753"/>
      <c r="AA23" s="753"/>
      <c r="AB23" s="753"/>
      <c r="AC23" s="753"/>
      <c r="AD23" s="753"/>
      <c r="AE23" s="754"/>
      <c r="AF23" s="115"/>
      <c r="AG23" s="116"/>
      <c r="AH23" s="117"/>
    </row>
    <row r="24" spans="1:34" s="203" customFormat="1" ht="18" customHeight="1" thickTop="1">
      <c r="A24" s="345" t="s">
        <v>21</v>
      </c>
      <c r="B24" s="346"/>
      <c r="C24" s="347"/>
      <c r="D24" s="303">
        <f t="shared" si="1"/>
        <v>20</v>
      </c>
      <c r="E24" s="755">
        <f>IF($A$11="","",IF(VLOOKUP(D24,Mannschaften!$B$13:$E$141,4,FALSE)=0,"",(VLOOKUP(D24,Mannschaften!$B$13:$E$141,4,FALSE))))</f>
      </c>
      <c r="F24" s="756"/>
      <c r="G24" s="756"/>
      <c r="H24" s="756"/>
      <c r="I24" s="756"/>
      <c r="J24" s="756"/>
      <c r="K24" s="756"/>
      <c r="L24" s="756"/>
      <c r="M24" s="756"/>
      <c r="N24" s="757"/>
      <c r="O24" s="100"/>
      <c r="P24" s="118"/>
      <c r="Q24" s="119"/>
      <c r="R24" s="345" t="s">
        <v>21</v>
      </c>
      <c r="S24" s="346"/>
      <c r="T24" s="347"/>
      <c r="U24" s="303">
        <f t="shared" si="2"/>
        <v>80</v>
      </c>
      <c r="V24" s="755" t="str">
        <f>IF($R$11="","",IF(VLOOKUP(U24,Mannschaften!$B$13:$E$141,4,FALSE)=0,"",(VLOOKUP(U24,Mannschaften!$B$13:$E$141,4,FALSE))))</f>
        <v>Leutheuser, Heiko</v>
      </c>
      <c r="W24" s="756"/>
      <c r="X24" s="756"/>
      <c r="Y24" s="756"/>
      <c r="Z24" s="756"/>
      <c r="AA24" s="756"/>
      <c r="AB24" s="756"/>
      <c r="AC24" s="756"/>
      <c r="AD24" s="756"/>
      <c r="AE24" s="757"/>
      <c r="AF24" s="100"/>
      <c r="AG24" s="118"/>
      <c r="AH24" s="119"/>
    </row>
    <row r="25" spans="1:34" s="203" customFormat="1" ht="18" customHeight="1" thickBot="1">
      <c r="A25" s="348" t="s">
        <v>22</v>
      </c>
      <c r="B25" s="349"/>
      <c r="C25" s="350"/>
      <c r="D25" s="311">
        <f t="shared" si="1"/>
        <v>21</v>
      </c>
      <c r="E25" s="758">
        <f>IF($A$11="","",IF(VLOOKUP(D25,Mannschaften!$B$13:$E$141,4,FALSE)=0,"",(VLOOKUP(D25,Mannschaften!$B$13:$E$141,4,FALSE))))</f>
      </c>
      <c r="F25" s="759"/>
      <c r="G25" s="759"/>
      <c r="H25" s="759"/>
      <c r="I25" s="759"/>
      <c r="J25" s="759"/>
      <c r="K25" s="759"/>
      <c r="L25" s="759"/>
      <c r="M25" s="759"/>
      <c r="N25" s="760"/>
      <c r="O25" s="120"/>
      <c r="P25" s="121"/>
      <c r="Q25" s="122"/>
      <c r="R25" s="348" t="s">
        <v>22</v>
      </c>
      <c r="S25" s="349"/>
      <c r="T25" s="350"/>
      <c r="U25" s="311">
        <f t="shared" si="2"/>
        <v>81</v>
      </c>
      <c r="V25" s="758">
        <f>IF($R$11="","",IF(VLOOKUP(U25,Mannschaften!$B$13:$E$141,4,FALSE)=0,"",(VLOOKUP(U25,Mannschaften!$B$13:$E$141,4,FALSE))))</f>
      </c>
      <c r="W25" s="759"/>
      <c r="X25" s="759"/>
      <c r="Y25" s="759"/>
      <c r="Z25" s="759"/>
      <c r="AA25" s="759"/>
      <c r="AB25" s="759"/>
      <c r="AC25" s="759"/>
      <c r="AD25" s="759"/>
      <c r="AE25" s="760"/>
      <c r="AF25" s="120"/>
      <c r="AG25" s="121"/>
      <c r="AH25" s="122"/>
    </row>
    <row r="26" spans="1:34" s="203" customFormat="1" ht="18" customHeight="1" thickBot="1" thickTop="1">
      <c r="A26" s="123" t="s">
        <v>23</v>
      </c>
      <c r="B26" s="124"/>
      <c r="C26" s="125"/>
      <c r="D26" s="126"/>
      <c r="E26" s="125"/>
      <c r="F26" s="125"/>
      <c r="G26" s="97"/>
      <c r="H26" s="127" t="s">
        <v>24</v>
      </c>
      <c r="I26" s="416"/>
      <c r="J26" s="127" t="s">
        <v>25</v>
      </c>
      <c r="K26" s="128"/>
      <c r="L26" s="772" t="s">
        <v>137</v>
      </c>
      <c r="M26" s="773"/>
      <c r="N26" s="773"/>
      <c r="O26" s="127" t="s">
        <v>26</v>
      </c>
      <c r="P26" s="129"/>
      <c r="Q26" s="130" t="s">
        <v>25</v>
      </c>
      <c r="R26" s="131"/>
      <c r="S26" s="802" t="s">
        <v>182</v>
      </c>
      <c r="T26" s="803"/>
      <c r="U26" s="803"/>
      <c r="V26" s="803"/>
      <c r="W26" s="803"/>
      <c r="X26" s="803"/>
      <c r="Y26" s="804"/>
      <c r="Z26" s="804"/>
      <c r="AA26" s="804"/>
      <c r="AB26" s="804"/>
      <c r="AC26" s="804"/>
      <c r="AD26" s="804"/>
      <c r="AE26" s="804"/>
      <c r="AF26" s="804"/>
      <c r="AG26" s="804"/>
      <c r="AH26" s="805"/>
    </row>
    <row r="27" spans="1:34" ht="18" customHeight="1">
      <c r="A27" s="761" t="s">
        <v>146</v>
      </c>
      <c r="B27" s="361"/>
      <c r="C27" s="267" t="s">
        <v>26</v>
      </c>
      <c r="D27" s="132"/>
      <c r="E27" s="355">
        <v>1</v>
      </c>
      <c r="F27" s="133">
        <v>2</v>
      </c>
      <c r="G27" s="133">
        <v>3</v>
      </c>
      <c r="H27" s="133">
        <v>4</v>
      </c>
      <c r="I27" s="134">
        <v>5</v>
      </c>
      <c r="J27" s="135">
        <v>6</v>
      </c>
      <c r="K27" s="133">
        <v>7</v>
      </c>
      <c r="L27" s="133"/>
      <c r="M27" s="133">
        <v>8</v>
      </c>
      <c r="N27" s="134">
        <v>9</v>
      </c>
      <c r="O27" s="135"/>
      <c r="P27" s="133">
        <v>10</v>
      </c>
      <c r="Q27" s="133"/>
      <c r="R27" s="133">
        <v>11</v>
      </c>
      <c r="S27" s="134"/>
      <c r="T27" s="135"/>
      <c r="U27" s="352"/>
      <c r="V27" s="133"/>
      <c r="W27" s="133"/>
      <c r="X27" s="133"/>
      <c r="Y27" s="136"/>
      <c r="Z27" s="135"/>
      <c r="AA27" s="133"/>
      <c r="AB27" s="133"/>
      <c r="AC27" s="133"/>
      <c r="AD27" s="134"/>
      <c r="AE27" s="135"/>
      <c r="AF27" s="133"/>
      <c r="AG27" s="133"/>
      <c r="AH27" s="356"/>
    </row>
    <row r="28" spans="1:34" ht="18" customHeight="1" thickBot="1">
      <c r="A28" s="762"/>
      <c r="B28" s="362"/>
      <c r="C28" s="270" t="s">
        <v>25</v>
      </c>
      <c r="D28" s="137"/>
      <c r="E28" s="357"/>
      <c r="F28" s="138"/>
      <c r="G28" s="138"/>
      <c r="H28" s="138"/>
      <c r="I28" s="139"/>
      <c r="J28" s="140"/>
      <c r="K28" s="138"/>
      <c r="L28" s="138">
        <v>1</v>
      </c>
      <c r="M28" s="138"/>
      <c r="N28" s="139"/>
      <c r="O28" s="140">
        <v>2</v>
      </c>
      <c r="P28" s="138"/>
      <c r="Q28" s="138">
        <v>3</v>
      </c>
      <c r="R28" s="138"/>
      <c r="S28" s="139"/>
      <c r="T28" s="140"/>
      <c r="U28" s="353"/>
      <c r="V28" s="138"/>
      <c r="W28" s="138"/>
      <c r="X28" s="138"/>
      <c r="Y28" s="141"/>
      <c r="Z28" s="140"/>
      <c r="AA28" s="138"/>
      <c r="AB28" s="138"/>
      <c r="AC28" s="138"/>
      <c r="AD28" s="139"/>
      <c r="AE28" s="140"/>
      <c r="AF28" s="138"/>
      <c r="AG28" s="138"/>
      <c r="AH28" s="358"/>
    </row>
    <row r="29" spans="1:34" ht="18" customHeight="1">
      <c r="A29" s="761" t="s">
        <v>138</v>
      </c>
      <c r="B29" s="361"/>
      <c r="C29" s="267" t="s">
        <v>26</v>
      </c>
      <c r="D29" s="132"/>
      <c r="E29" s="355">
        <v>1</v>
      </c>
      <c r="F29" s="133">
        <v>2</v>
      </c>
      <c r="G29" s="133"/>
      <c r="H29" s="133"/>
      <c r="I29" s="134"/>
      <c r="J29" s="135"/>
      <c r="K29" s="133">
        <v>3</v>
      </c>
      <c r="L29" s="133"/>
      <c r="M29" s="133">
        <v>4</v>
      </c>
      <c r="N29" s="134"/>
      <c r="O29" s="135">
        <v>5</v>
      </c>
      <c r="P29" s="133"/>
      <c r="Q29" s="133">
        <v>6</v>
      </c>
      <c r="R29" s="133"/>
      <c r="S29" s="134">
        <v>7</v>
      </c>
      <c r="T29" s="135"/>
      <c r="U29" s="352"/>
      <c r="V29" s="133">
        <v>8</v>
      </c>
      <c r="W29" s="133"/>
      <c r="X29" s="133">
        <v>9</v>
      </c>
      <c r="Y29" s="136">
        <v>10</v>
      </c>
      <c r="Z29" s="135">
        <v>11</v>
      </c>
      <c r="AA29" s="133">
        <v>12</v>
      </c>
      <c r="AB29" s="133"/>
      <c r="AC29" s="133"/>
      <c r="AD29" s="134"/>
      <c r="AE29" s="135"/>
      <c r="AF29" s="133"/>
      <c r="AG29" s="133"/>
      <c r="AH29" s="356"/>
    </row>
    <row r="30" spans="1:34" ht="18" customHeight="1" thickBot="1">
      <c r="A30" s="762"/>
      <c r="B30" s="362"/>
      <c r="C30" s="270" t="s">
        <v>25</v>
      </c>
      <c r="D30" s="137"/>
      <c r="E30" s="357"/>
      <c r="F30" s="138"/>
      <c r="G30" s="138">
        <v>1</v>
      </c>
      <c r="H30" s="138">
        <v>2</v>
      </c>
      <c r="I30" s="139">
        <v>3</v>
      </c>
      <c r="J30" s="140">
        <v>4</v>
      </c>
      <c r="K30" s="138"/>
      <c r="L30" s="138">
        <v>5</v>
      </c>
      <c r="M30" s="138"/>
      <c r="N30" s="139">
        <v>6</v>
      </c>
      <c r="O30" s="140"/>
      <c r="P30" s="138">
        <v>7</v>
      </c>
      <c r="Q30" s="138"/>
      <c r="R30" s="138">
        <v>8</v>
      </c>
      <c r="S30" s="139"/>
      <c r="T30" s="140">
        <v>9</v>
      </c>
      <c r="U30" s="353"/>
      <c r="V30" s="138"/>
      <c r="W30" s="138">
        <v>10</v>
      </c>
      <c r="X30" s="138"/>
      <c r="Y30" s="141"/>
      <c r="Z30" s="140"/>
      <c r="AA30" s="138"/>
      <c r="AB30" s="138"/>
      <c r="AC30" s="138"/>
      <c r="AD30" s="139"/>
      <c r="AE30" s="140"/>
      <c r="AF30" s="138"/>
      <c r="AG30" s="138"/>
      <c r="AH30" s="358"/>
    </row>
    <row r="31" spans="1:34" ht="18" customHeight="1">
      <c r="A31" s="761" t="s">
        <v>139</v>
      </c>
      <c r="B31" s="361"/>
      <c r="C31" s="267" t="s">
        <v>26</v>
      </c>
      <c r="D31" s="132"/>
      <c r="E31" s="355"/>
      <c r="F31" s="133"/>
      <c r="G31" s="133"/>
      <c r="H31" s="133"/>
      <c r="I31" s="134"/>
      <c r="J31" s="135"/>
      <c r="K31" s="133"/>
      <c r="L31" s="133"/>
      <c r="M31" s="133"/>
      <c r="N31" s="134"/>
      <c r="O31" s="135"/>
      <c r="P31" s="133"/>
      <c r="Q31" s="133"/>
      <c r="R31" s="133"/>
      <c r="S31" s="134"/>
      <c r="T31" s="135"/>
      <c r="U31" s="352"/>
      <c r="V31" s="133"/>
      <c r="W31" s="133"/>
      <c r="X31" s="133"/>
      <c r="Y31" s="136"/>
      <c r="Z31" s="135"/>
      <c r="AA31" s="133"/>
      <c r="AB31" s="133"/>
      <c r="AC31" s="133"/>
      <c r="AD31" s="134"/>
      <c r="AE31" s="135"/>
      <c r="AF31" s="133"/>
      <c r="AG31" s="133"/>
      <c r="AH31" s="356"/>
    </row>
    <row r="32" spans="1:34" ht="18" customHeight="1" thickBot="1">
      <c r="A32" s="762"/>
      <c r="B32" s="362"/>
      <c r="C32" s="363" t="s">
        <v>25</v>
      </c>
      <c r="D32" s="98"/>
      <c r="E32" s="359"/>
      <c r="F32" s="142"/>
      <c r="G32" s="142"/>
      <c r="H32" s="142"/>
      <c r="I32" s="143"/>
      <c r="J32" s="144"/>
      <c r="K32" s="142"/>
      <c r="L32" s="142"/>
      <c r="M32" s="142"/>
      <c r="N32" s="143"/>
      <c r="O32" s="144"/>
      <c r="P32" s="142"/>
      <c r="Q32" s="142"/>
      <c r="R32" s="142"/>
      <c r="S32" s="143"/>
      <c r="T32" s="144"/>
      <c r="U32" s="354"/>
      <c r="V32" s="142"/>
      <c r="W32" s="142"/>
      <c r="X32" s="142"/>
      <c r="Y32" s="145"/>
      <c r="Z32" s="144"/>
      <c r="AA32" s="142"/>
      <c r="AB32" s="142"/>
      <c r="AC32" s="142"/>
      <c r="AD32" s="143"/>
      <c r="AE32" s="144"/>
      <c r="AF32" s="142"/>
      <c r="AG32" s="142"/>
      <c r="AH32" s="360"/>
    </row>
    <row r="33" spans="1:34" ht="16.5" customHeight="1">
      <c r="A33" s="146"/>
      <c r="B33" s="818"/>
      <c r="C33" s="147"/>
      <c r="D33" s="132"/>
      <c r="E33" s="132"/>
      <c r="F33" s="132"/>
      <c r="G33" s="132"/>
      <c r="H33" s="148"/>
      <c r="I33" s="808" t="s">
        <v>146</v>
      </c>
      <c r="J33" s="809"/>
      <c r="K33" s="809"/>
      <c r="L33" s="809"/>
      <c r="M33" s="810"/>
      <c r="N33" s="808" t="s">
        <v>138</v>
      </c>
      <c r="O33" s="809"/>
      <c r="P33" s="809"/>
      <c r="Q33" s="809"/>
      <c r="R33" s="810"/>
      <c r="S33" s="808" t="s">
        <v>139</v>
      </c>
      <c r="T33" s="809"/>
      <c r="U33" s="809"/>
      <c r="V33" s="809"/>
      <c r="W33" s="809"/>
      <c r="X33" s="810"/>
      <c r="Y33" s="808" t="s">
        <v>140</v>
      </c>
      <c r="Z33" s="809"/>
      <c r="AA33" s="809"/>
      <c r="AB33" s="809"/>
      <c r="AC33" s="810"/>
      <c r="AD33" s="808" t="s">
        <v>36</v>
      </c>
      <c r="AE33" s="809"/>
      <c r="AF33" s="809"/>
      <c r="AG33" s="809"/>
      <c r="AH33" s="820"/>
    </row>
    <row r="34" spans="1:34" ht="18" customHeight="1" thickBot="1">
      <c r="A34" s="149"/>
      <c r="B34" s="819"/>
      <c r="C34" s="821" t="s">
        <v>128</v>
      </c>
      <c r="D34" s="822"/>
      <c r="E34" s="822"/>
      <c r="F34" s="822"/>
      <c r="G34" s="822"/>
      <c r="H34" s="823"/>
      <c r="I34" s="813">
        <v>11</v>
      </c>
      <c r="J34" s="811"/>
      <c r="K34" s="150" t="s">
        <v>7</v>
      </c>
      <c r="L34" s="811">
        <v>3</v>
      </c>
      <c r="M34" s="812"/>
      <c r="N34" s="813">
        <v>12</v>
      </c>
      <c r="O34" s="811"/>
      <c r="P34" s="150" t="s">
        <v>7</v>
      </c>
      <c r="Q34" s="811">
        <v>10</v>
      </c>
      <c r="R34" s="812"/>
      <c r="S34" s="813"/>
      <c r="T34" s="811"/>
      <c r="U34" s="26"/>
      <c r="V34" s="150" t="s">
        <v>7</v>
      </c>
      <c r="W34" s="811"/>
      <c r="X34" s="812"/>
      <c r="Y34" s="813">
        <v>2</v>
      </c>
      <c r="Z34" s="811"/>
      <c r="AA34" s="150" t="s">
        <v>7</v>
      </c>
      <c r="AB34" s="811">
        <v>0</v>
      </c>
      <c r="AC34" s="812"/>
      <c r="AD34" s="813">
        <v>23</v>
      </c>
      <c r="AE34" s="811"/>
      <c r="AF34" s="150" t="s">
        <v>7</v>
      </c>
      <c r="AG34" s="811">
        <v>13</v>
      </c>
      <c r="AH34" s="814"/>
    </row>
    <row r="35" spans="1:34" ht="19.5" customHeight="1">
      <c r="A35" s="149"/>
      <c r="B35" s="819"/>
      <c r="C35" s="831" t="s">
        <v>28</v>
      </c>
      <c r="D35" s="831"/>
      <c r="E35" s="831"/>
      <c r="F35" s="831"/>
      <c r="G35" s="831"/>
      <c r="H35" s="831"/>
      <c r="I35" s="825" t="s">
        <v>418</v>
      </c>
      <c r="J35" s="826"/>
      <c r="K35" s="826"/>
      <c r="L35" s="826"/>
      <c r="M35" s="826"/>
      <c r="N35" s="826"/>
      <c r="O35" s="826"/>
      <c r="P35" s="826"/>
      <c r="Q35" s="826"/>
      <c r="R35" s="826"/>
      <c r="S35" s="826"/>
      <c r="T35" s="826"/>
      <c r="U35" s="826"/>
      <c r="V35" s="826"/>
      <c r="W35" s="826"/>
      <c r="X35" s="827"/>
      <c r="Y35" s="808" t="s">
        <v>35</v>
      </c>
      <c r="Z35" s="809"/>
      <c r="AA35" s="809"/>
      <c r="AB35" s="809"/>
      <c r="AC35" s="810"/>
      <c r="AD35" s="808" t="s">
        <v>183</v>
      </c>
      <c r="AE35" s="809"/>
      <c r="AF35" s="809"/>
      <c r="AG35" s="809"/>
      <c r="AH35" s="820"/>
    </row>
    <row r="36" spans="1:34" ht="19.5" customHeight="1" thickBot="1">
      <c r="A36" s="151"/>
      <c r="B36" s="819"/>
      <c r="C36" s="832"/>
      <c r="D36" s="832"/>
      <c r="E36" s="832"/>
      <c r="F36" s="832"/>
      <c r="G36" s="832"/>
      <c r="H36" s="832"/>
      <c r="I36" s="828"/>
      <c r="J36" s="829"/>
      <c r="K36" s="829"/>
      <c r="L36" s="829"/>
      <c r="M36" s="829"/>
      <c r="N36" s="829"/>
      <c r="O36" s="829"/>
      <c r="P36" s="829"/>
      <c r="Q36" s="829"/>
      <c r="R36" s="829"/>
      <c r="S36" s="829"/>
      <c r="T36" s="829"/>
      <c r="U36" s="829"/>
      <c r="V36" s="829"/>
      <c r="W36" s="829"/>
      <c r="X36" s="830"/>
      <c r="Y36" s="824">
        <v>2</v>
      </c>
      <c r="Z36" s="816"/>
      <c r="AA36" s="351" t="s">
        <v>7</v>
      </c>
      <c r="AB36" s="816">
        <v>0</v>
      </c>
      <c r="AC36" s="817"/>
      <c r="AD36" s="815">
        <v>0.6180555555555556</v>
      </c>
      <c r="AE36" s="816"/>
      <c r="AF36" s="816"/>
      <c r="AG36" s="806" t="s">
        <v>12</v>
      </c>
      <c r="AH36" s="807"/>
    </row>
    <row r="37" spans="1:34" ht="18" customHeight="1" thickBot="1" thickTop="1">
      <c r="A37" s="746" t="s">
        <v>29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8"/>
    </row>
    <row r="38" spans="1:34" ht="18" customHeight="1" thickBot="1">
      <c r="A38" s="364" t="s">
        <v>185</v>
      </c>
      <c r="B38" s="365"/>
      <c r="C38" s="365"/>
      <c r="D38" s="366"/>
      <c r="E38" s="365"/>
      <c r="F38" s="365"/>
      <c r="G38" s="367"/>
      <c r="H38" s="365"/>
      <c r="I38" s="365"/>
      <c r="J38" s="365"/>
      <c r="K38" s="365"/>
      <c r="L38" s="365"/>
      <c r="M38" s="365"/>
      <c r="N38" s="365"/>
      <c r="O38" s="365"/>
      <c r="P38" s="365"/>
      <c r="Q38" s="368"/>
      <c r="R38" s="369" t="s">
        <v>186</v>
      </c>
      <c r="S38" s="365"/>
      <c r="T38" s="365"/>
      <c r="U38" s="366"/>
      <c r="V38" s="365"/>
      <c r="W38" s="370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2"/>
    </row>
    <row r="39" spans="1:34" ht="18" customHeight="1" thickBot="1">
      <c r="A39" s="364" t="s">
        <v>14</v>
      </c>
      <c r="B39" s="365"/>
      <c r="C39" s="365"/>
      <c r="D39" s="366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8"/>
      <c r="R39" s="373" t="s">
        <v>11</v>
      </c>
      <c r="S39" s="365"/>
      <c r="T39" s="365"/>
      <c r="U39" s="366"/>
      <c r="V39" s="365"/>
      <c r="W39" s="374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75"/>
    </row>
    <row r="40" spans="1:34" ht="18" customHeight="1" thickBot="1">
      <c r="A40" s="376" t="s">
        <v>30</v>
      </c>
      <c r="B40" s="377"/>
      <c r="C40" s="377"/>
      <c r="D40" s="378"/>
      <c r="E40" s="377"/>
      <c r="F40" s="377"/>
      <c r="G40" s="377"/>
      <c r="H40" s="377"/>
      <c r="I40" s="377"/>
      <c r="J40" s="379" t="s">
        <v>31</v>
      </c>
      <c r="K40" s="380"/>
      <c r="L40" s="380"/>
      <c r="M40" s="380"/>
      <c r="N40" s="381"/>
      <c r="O40" s="377"/>
      <c r="P40" s="379" t="s">
        <v>32</v>
      </c>
      <c r="Q40" s="380"/>
      <c r="R40" s="380"/>
      <c r="S40" s="380"/>
      <c r="T40" s="381"/>
      <c r="U40" s="378"/>
      <c r="V40" s="377"/>
      <c r="W40" s="379" t="s">
        <v>33</v>
      </c>
      <c r="X40" s="380"/>
      <c r="Y40" s="380"/>
      <c r="Z40" s="380"/>
      <c r="AA40" s="380"/>
      <c r="AB40" s="381"/>
      <c r="AC40" s="377"/>
      <c r="AD40" s="379" t="s">
        <v>34</v>
      </c>
      <c r="AE40" s="380"/>
      <c r="AF40" s="380"/>
      <c r="AG40" s="381"/>
      <c r="AH40" s="382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184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heet="1" selectLockedCells="1"/>
  <mergeCells count="80">
    <mergeCell ref="I35:X36"/>
    <mergeCell ref="C35:H36"/>
    <mergeCell ref="L34:M34"/>
    <mergeCell ref="N34:O34"/>
    <mergeCell ref="Q34:R34"/>
    <mergeCell ref="S34:T34"/>
    <mergeCell ref="B33:B36"/>
    <mergeCell ref="AD33:AH33"/>
    <mergeCell ref="C34:H34"/>
    <mergeCell ref="AD35:AH35"/>
    <mergeCell ref="Y35:AC35"/>
    <mergeCell ref="I33:M33"/>
    <mergeCell ref="N33:R33"/>
    <mergeCell ref="S33:X33"/>
    <mergeCell ref="I34:J34"/>
    <mergeCell ref="Y36:Z36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B36:AC36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W5:AC5"/>
    <mergeCell ref="E15:N15"/>
    <mergeCell ref="F7:Q7"/>
    <mergeCell ref="A27:A28"/>
    <mergeCell ref="E20:N20"/>
    <mergeCell ref="E21:N21"/>
    <mergeCell ref="E22:N22"/>
    <mergeCell ref="E19:N19"/>
    <mergeCell ref="E16:N16"/>
    <mergeCell ref="E17:N17"/>
    <mergeCell ref="L26:N26"/>
    <mergeCell ref="E18:N18"/>
    <mergeCell ref="AP3:AP4"/>
    <mergeCell ref="F5:Q5"/>
    <mergeCell ref="AL3:AL4"/>
    <mergeCell ref="AM3:AM4"/>
    <mergeCell ref="AN3:AN4"/>
    <mergeCell ref="AO3:AO4"/>
    <mergeCell ref="A11:N11"/>
    <mergeCell ref="W6:AA6"/>
    <mergeCell ref="A1:AC1"/>
    <mergeCell ref="A2:AC2"/>
    <mergeCell ref="G3:AC3"/>
    <mergeCell ref="G4:L4"/>
    <mergeCell ref="A37:AH37"/>
    <mergeCell ref="V22:AE22"/>
    <mergeCell ref="V23:AE23"/>
    <mergeCell ref="V24:AE24"/>
    <mergeCell ref="V25:AE25"/>
    <mergeCell ref="E25:N25"/>
    <mergeCell ref="E24:N24"/>
    <mergeCell ref="A29:A30"/>
    <mergeCell ref="A31:A32"/>
    <mergeCell ref="E23:N23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P36"/>
  <sheetViews>
    <sheetView zoomScalePageLayoutView="0" workbookViewId="0" topLeftCell="A1">
      <selection activeCell="B7" sqref="B7:M9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0" hidden="1" customWidth="1"/>
    <col min="39" max="39" width="11.7109375" style="440" hidden="1" customWidth="1"/>
    <col min="40" max="40" width="8.7109375" style="0" hidden="1" customWidth="1"/>
    <col min="41" max="41" width="15.421875" style="440" hidden="1" customWidth="1"/>
    <col min="42" max="42" width="9.140625" style="0" customWidth="1"/>
  </cols>
  <sheetData>
    <row r="1" spans="3:41" ht="30" customHeight="1">
      <c r="C1" s="640" t="s">
        <v>129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32"/>
      <c r="AJ1" s="32"/>
      <c r="AK1" s="32"/>
      <c r="AL1" s="32"/>
      <c r="AM1" s="439"/>
      <c r="AN1" s="32"/>
      <c r="AO1" s="439"/>
    </row>
    <row r="2" ht="8.25" customHeight="1"/>
    <row r="3" spans="3:41" ht="28.5" customHeight="1">
      <c r="C3" s="841" t="str">
        <f>IF(Mannschaften!D2="","",Mannschaften!D2)</f>
        <v>Deutsche Meisterschaft der Senioren  Feld   2010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38"/>
      <c r="AJ3" s="38"/>
      <c r="AK3" s="38"/>
      <c r="AL3" s="38"/>
      <c r="AM3" s="441"/>
      <c r="AN3" s="38"/>
      <c r="AO3" s="441"/>
    </row>
    <row r="4" spans="2:42" ht="23.25" customHeight="1">
      <c r="B4" s="27"/>
      <c r="C4" s="27"/>
      <c r="D4" s="886" t="str">
        <f>IF(Mannschaften!F4="","",Mannschaften!F4)</f>
        <v>Waghäusel</v>
      </c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27"/>
      <c r="P4" s="27"/>
      <c r="Q4" s="27"/>
      <c r="R4" s="27"/>
      <c r="S4" s="27"/>
      <c r="T4" s="884">
        <f>Mannschaften!K4</f>
        <v>40425</v>
      </c>
      <c r="U4" s="884"/>
      <c r="V4" s="884"/>
      <c r="W4" s="884"/>
      <c r="X4" s="884"/>
      <c r="Y4" s="884"/>
      <c r="Z4" s="884"/>
      <c r="AA4" s="27" t="s">
        <v>112</v>
      </c>
      <c r="AB4" s="885">
        <f>Mannschaften!M4</f>
        <v>40426</v>
      </c>
      <c r="AC4" s="885"/>
      <c r="AD4" s="885"/>
      <c r="AE4" s="885"/>
      <c r="AF4" s="885"/>
      <c r="AG4" s="885"/>
      <c r="AH4" s="885"/>
      <c r="AI4" s="40"/>
      <c r="AJ4" s="40"/>
      <c r="AK4" s="40"/>
      <c r="AL4" s="40"/>
      <c r="AM4" s="442"/>
      <c r="AN4" s="40"/>
      <c r="AO4" s="442"/>
      <c r="AP4" s="27"/>
    </row>
    <row r="5" spans="1:42" ht="18.75" customHeight="1">
      <c r="A5" s="878" t="str">
        <f>Mannschaften!A5</f>
        <v>Ausrichter:     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36"/>
      <c r="R5" s="36"/>
      <c r="S5" s="36"/>
      <c r="T5" s="881" t="str">
        <f>IF(Mannschaften!I5="","",Mannschaften!I5)</f>
        <v>TSV Wiesental</v>
      </c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881"/>
    </row>
    <row r="6" spans="8:25" ht="24.75" customHeight="1" thickBot="1">
      <c r="H6" s="879"/>
      <c r="I6" s="879"/>
      <c r="J6" s="879"/>
      <c r="K6" s="879"/>
      <c r="L6" s="879"/>
      <c r="M6" s="879"/>
      <c r="N6" s="879" t="str">
        <f>Mannschaften!H3</f>
        <v>M 45</v>
      </c>
      <c r="O6" s="879"/>
      <c r="P6" s="879"/>
      <c r="Q6" s="879"/>
      <c r="R6" s="879"/>
      <c r="S6" s="879"/>
      <c r="T6" s="887" t="s">
        <v>5</v>
      </c>
      <c r="U6" s="887"/>
      <c r="V6" s="887"/>
      <c r="W6" s="887"/>
      <c r="X6" s="887"/>
      <c r="Y6" s="887"/>
    </row>
    <row r="7" spans="1:42" ht="16.5" customHeight="1" thickTop="1">
      <c r="A7" s="5" t="s">
        <v>27</v>
      </c>
      <c r="B7" s="842" t="str">
        <f>'Spielplan-Sa'!F10</f>
        <v>ETV  Hamburg</v>
      </c>
      <c r="C7" s="843"/>
      <c r="D7" s="843"/>
      <c r="E7" s="843"/>
      <c r="F7" s="843"/>
      <c r="G7" s="844"/>
      <c r="H7" s="842" t="str">
        <f>'Spielplan-Sa'!F11</f>
        <v>TV GH Brettorf</v>
      </c>
      <c r="I7" s="843"/>
      <c r="J7" s="843"/>
      <c r="K7" s="843"/>
      <c r="L7" s="843"/>
      <c r="M7" s="844"/>
      <c r="N7" s="848" t="str">
        <f>'Spielplan-Sa'!F12</f>
        <v>TV Dinglingen</v>
      </c>
      <c r="O7" s="849"/>
      <c r="P7" s="849"/>
      <c r="Q7" s="849"/>
      <c r="R7" s="849"/>
      <c r="S7" s="850"/>
      <c r="T7" s="842" t="str">
        <f>'Spielplan-Sa'!F13</f>
        <v>TV Segnitz</v>
      </c>
      <c r="U7" s="843"/>
      <c r="V7" s="843"/>
      <c r="W7" s="843"/>
      <c r="X7" s="843"/>
      <c r="Y7" s="844"/>
      <c r="Z7" s="842" t="str">
        <f>'Spielplan-Sa'!F14</f>
        <v>MSV Buna Schkopau</v>
      </c>
      <c r="AA7" s="843"/>
      <c r="AB7" s="843"/>
      <c r="AC7" s="843"/>
      <c r="AD7" s="843"/>
      <c r="AE7" s="844"/>
      <c r="AF7" s="863" t="s">
        <v>36</v>
      </c>
      <c r="AG7" s="864"/>
      <c r="AH7" s="865"/>
      <c r="AI7" s="47"/>
      <c r="AJ7" s="48"/>
      <c r="AK7" s="41"/>
      <c r="AL7" s="41"/>
      <c r="AM7" s="443"/>
      <c r="AN7" s="41"/>
      <c r="AO7" s="443"/>
      <c r="AP7" s="882" t="s">
        <v>37</v>
      </c>
    </row>
    <row r="8" spans="1:42" ht="16.5" customHeight="1">
      <c r="A8" s="37"/>
      <c r="B8" s="845"/>
      <c r="C8" s="846"/>
      <c r="D8" s="846"/>
      <c r="E8" s="846"/>
      <c r="F8" s="846"/>
      <c r="G8" s="847"/>
      <c r="H8" s="845"/>
      <c r="I8" s="846"/>
      <c r="J8" s="846"/>
      <c r="K8" s="846"/>
      <c r="L8" s="846"/>
      <c r="M8" s="847"/>
      <c r="N8" s="851"/>
      <c r="O8" s="852"/>
      <c r="P8" s="852"/>
      <c r="Q8" s="852"/>
      <c r="R8" s="852"/>
      <c r="S8" s="853"/>
      <c r="T8" s="845"/>
      <c r="U8" s="846"/>
      <c r="V8" s="846"/>
      <c r="W8" s="846"/>
      <c r="X8" s="846"/>
      <c r="Y8" s="847"/>
      <c r="Z8" s="845"/>
      <c r="AA8" s="846"/>
      <c r="AB8" s="846"/>
      <c r="AC8" s="846"/>
      <c r="AD8" s="846"/>
      <c r="AE8" s="847"/>
      <c r="AF8" s="866" t="s">
        <v>140</v>
      </c>
      <c r="AG8" s="867"/>
      <c r="AH8" s="868"/>
      <c r="AI8" s="49"/>
      <c r="AJ8" s="3"/>
      <c r="AK8" s="50"/>
      <c r="AL8" s="42" t="s">
        <v>158</v>
      </c>
      <c r="AM8" s="444" t="s">
        <v>136</v>
      </c>
      <c r="AN8" s="42" t="s">
        <v>136</v>
      </c>
      <c r="AO8" s="444" t="s">
        <v>37</v>
      </c>
      <c r="AP8" s="883"/>
    </row>
    <row r="9" spans="1:42" ht="16.5" customHeight="1" thickBot="1">
      <c r="A9" s="37"/>
      <c r="B9" s="845"/>
      <c r="C9" s="846"/>
      <c r="D9" s="846"/>
      <c r="E9" s="846"/>
      <c r="F9" s="846"/>
      <c r="G9" s="847"/>
      <c r="H9" s="845"/>
      <c r="I9" s="846"/>
      <c r="J9" s="846"/>
      <c r="K9" s="846"/>
      <c r="L9" s="846"/>
      <c r="M9" s="847"/>
      <c r="N9" s="851"/>
      <c r="O9" s="852"/>
      <c r="P9" s="852"/>
      <c r="Q9" s="852"/>
      <c r="R9" s="852"/>
      <c r="S9" s="853"/>
      <c r="T9" s="845"/>
      <c r="U9" s="846"/>
      <c r="V9" s="846"/>
      <c r="W9" s="846"/>
      <c r="X9" s="846"/>
      <c r="Y9" s="847"/>
      <c r="Z9" s="845"/>
      <c r="AA9" s="846"/>
      <c r="AB9" s="846"/>
      <c r="AC9" s="846"/>
      <c r="AD9" s="846"/>
      <c r="AE9" s="847"/>
      <c r="AI9" s="870" t="s">
        <v>35</v>
      </c>
      <c r="AJ9" s="871"/>
      <c r="AK9" s="872"/>
      <c r="AL9" s="42" t="s">
        <v>159</v>
      </c>
      <c r="AM9" s="444" t="s">
        <v>160</v>
      </c>
      <c r="AN9" s="42" t="s">
        <v>159</v>
      </c>
      <c r="AO9" s="444" t="s">
        <v>161</v>
      </c>
      <c r="AP9" s="883"/>
    </row>
    <row r="10" spans="1:42" ht="16.5" customHeight="1" thickTop="1">
      <c r="A10" s="833" t="str">
        <f>B7</f>
        <v>ETV  Hamburg</v>
      </c>
      <c r="B10" s="880" t="s">
        <v>146</v>
      </c>
      <c r="C10" s="875"/>
      <c r="D10" s="875"/>
      <c r="E10" s="875" t="s">
        <v>36</v>
      </c>
      <c r="F10" s="875"/>
      <c r="G10" s="876"/>
      <c r="H10" s="74">
        <f>'Spielplan-Sa'!K20</f>
        <v>11</v>
      </c>
      <c r="I10" s="75" t="s">
        <v>7</v>
      </c>
      <c r="J10" s="76">
        <f>IF('Spielplan-Sa'!M20="",0,'Spielplan-Sa'!M20)</f>
        <v>6</v>
      </c>
      <c r="K10" s="77">
        <f>'Spielplan-Sa'!AF20</f>
        <v>22</v>
      </c>
      <c r="L10" s="75" t="s">
        <v>7</v>
      </c>
      <c r="M10" s="78">
        <f>'Spielplan-Sa'!AH20</f>
        <v>14</v>
      </c>
      <c r="N10" s="79">
        <f>'Spielplan-Sa'!K28</f>
        <v>11</v>
      </c>
      <c r="O10" s="75" t="s">
        <v>7</v>
      </c>
      <c r="P10" s="76">
        <f>'Spielplan-Sa'!M28</f>
        <v>8</v>
      </c>
      <c r="Q10" s="77">
        <f>'Spielplan-Sa'!AF28</f>
        <v>22</v>
      </c>
      <c r="R10" s="75" t="s">
        <v>7</v>
      </c>
      <c r="S10" s="78">
        <f>'Spielplan-Sa'!AH28</f>
        <v>13</v>
      </c>
      <c r="T10" s="79">
        <f>'Spielplan-Sa'!K36</f>
        <v>11</v>
      </c>
      <c r="U10" s="75" t="s">
        <v>7</v>
      </c>
      <c r="V10" s="76">
        <f>'Spielplan-Sa'!M36</f>
        <v>7</v>
      </c>
      <c r="W10" s="77">
        <f>'Spielplan-Sa'!AF36</f>
        <v>22</v>
      </c>
      <c r="X10" s="75" t="s">
        <v>7</v>
      </c>
      <c r="Y10" s="78">
        <f>'Spielplan-Sa'!AH36</f>
        <v>14</v>
      </c>
      <c r="Z10" s="79">
        <f>'Spielplan-Sa'!K24</f>
        <v>11</v>
      </c>
      <c r="AA10" s="75" t="s">
        <v>7</v>
      </c>
      <c r="AB10" s="76">
        <f>'Spielplan-Sa'!M24</f>
        <v>5</v>
      </c>
      <c r="AC10" s="77">
        <f>'Spielplan-Sa'!AF24</f>
        <v>22</v>
      </c>
      <c r="AD10" s="75" t="s">
        <v>7</v>
      </c>
      <c r="AE10" s="78">
        <f>'Spielplan-Sa'!AH24</f>
        <v>10</v>
      </c>
      <c r="AF10" s="56">
        <f>IF(K10="",0,+K10+IF(Q10="",0,+Q10+IF(W10="",0,+W10+IF(AC10="",0,+AC10))))</f>
        <v>88</v>
      </c>
      <c r="AG10" s="57" t="s">
        <v>7</v>
      </c>
      <c r="AH10" s="58">
        <f>IF(M10="",0,+M10+IF(S10="",0,+S10+IF(Y10="",0,+Y10+IF(AE10="",0,+AE10))))</f>
        <v>51</v>
      </c>
      <c r="AI10" s="51"/>
      <c r="AJ10" s="52"/>
      <c r="AK10" s="43"/>
      <c r="AL10" s="43">
        <f>AF10-AH10</f>
        <v>37</v>
      </c>
      <c r="AM10" s="445"/>
      <c r="AN10" s="43"/>
      <c r="AO10" s="445"/>
      <c r="AP10" s="836">
        <f>IF('Spielplan-Sa'!AL$37+'Spielplan-Sa'!AN$37=0,"",IF(AO11="","",RANK(AO11,AO$11:AO$23,0)))</f>
        <v>1</v>
      </c>
    </row>
    <row r="11" spans="1:42" ht="16.5" customHeight="1">
      <c r="A11" s="834"/>
      <c r="B11" s="873" t="s">
        <v>138</v>
      </c>
      <c r="C11" s="874"/>
      <c r="D11" s="874"/>
      <c r="E11" s="874" t="s">
        <v>140</v>
      </c>
      <c r="F11" s="874"/>
      <c r="G11" s="877"/>
      <c r="H11" s="80">
        <f>'Spielplan-Sa'!N20</f>
        <v>11</v>
      </c>
      <c r="I11" s="81" t="s">
        <v>7</v>
      </c>
      <c r="J11" s="82">
        <f>'Spielplan-Sa'!P20</f>
        <v>8</v>
      </c>
      <c r="K11" s="83">
        <f>'Spielplan-Sa'!AI20</f>
        <v>2</v>
      </c>
      <c r="L11" s="81" t="s">
        <v>7</v>
      </c>
      <c r="M11" s="84">
        <f>'Spielplan-Sa'!AK20</f>
        <v>0</v>
      </c>
      <c r="N11" s="80">
        <f>'Spielplan-Sa'!N28</f>
        <v>11</v>
      </c>
      <c r="O11" s="81" t="s">
        <v>7</v>
      </c>
      <c r="P11" s="82">
        <f>'Spielplan-Sa'!P28</f>
        <v>5</v>
      </c>
      <c r="Q11" s="83">
        <f>'Spielplan-Sa'!AI28</f>
        <v>2</v>
      </c>
      <c r="R11" s="81" t="s">
        <v>7</v>
      </c>
      <c r="S11" s="84">
        <f>'Spielplan-Sa'!AK28</f>
        <v>0</v>
      </c>
      <c r="T11" s="80">
        <f>'Spielplan-Sa'!N36</f>
        <v>11</v>
      </c>
      <c r="U11" s="81" t="s">
        <v>7</v>
      </c>
      <c r="V11" s="82">
        <f>'Spielplan-Sa'!P36</f>
        <v>7</v>
      </c>
      <c r="W11" s="83">
        <f>'Spielplan-Sa'!AI36</f>
        <v>2</v>
      </c>
      <c r="X11" s="81" t="s">
        <v>7</v>
      </c>
      <c r="Y11" s="84">
        <f>'Spielplan-Sa'!AK36</f>
        <v>0</v>
      </c>
      <c r="Z11" s="80">
        <f>'Spielplan-Sa'!N24</f>
        <v>11</v>
      </c>
      <c r="AA11" s="81" t="s">
        <v>7</v>
      </c>
      <c r="AB11" s="82">
        <f>'Spielplan-Sa'!P24</f>
        <v>5</v>
      </c>
      <c r="AC11" s="83">
        <f>'Spielplan-Sa'!AI24</f>
        <v>2</v>
      </c>
      <c r="AD11" s="81" t="s">
        <v>7</v>
      </c>
      <c r="AE11" s="84">
        <f>'Spielplan-Sa'!AK24</f>
        <v>0</v>
      </c>
      <c r="AF11" s="59">
        <f>IF(K11="",0,+K11+IF(Q11="",0,+Q11+IF(W11="",0,+W11+IF(AC11="",0,+AC11))))</f>
        <v>8</v>
      </c>
      <c r="AG11" s="60" t="s">
        <v>7</v>
      </c>
      <c r="AH11" s="61">
        <f>IF(M11="",0,+M11+IF(S11="",0,+S11+IF(Y11="",0,+Y11+IF(AE11="",0,+AE11))))</f>
        <v>0</v>
      </c>
      <c r="AI11" s="49"/>
      <c r="AJ11" s="3"/>
      <c r="AK11" s="50"/>
      <c r="AL11" s="44"/>
      <c r="AM11" s="446">
        <f>IF(AF11&gt;AH11,IF(AH11=0,9000,AF11/AH11*1000),IF(AF11=0,-9000,AH11/AF11*-1000))</f>
        <v>9000</v>
      </c>
      <c r="AN11" s="44">
        <f>(AF11-AH11)*10000</f>
        <v>80000</v>
      </c>
      <c r="AO11" s="446">
        <f>AI12*100000+AN11+AM11+AL10</f>
        <v>889037</v>
      </c>
      <c r="AP11" s="837"/>
    </row>
    <row r="12" spans="1:42" ht="16.5" customHeight="1" thickBot="1">
      <c r="A12" s="835"/>
      <c r="B12" s="839" t="s">
        <v>139</v>
      </c>
      <c r="C12" s="840"/>
      <c r="D12" s="840"/>
      <c r="E12" s="840" t="s">
        <v>35</v>
      </c>
      <c r="F12" s="840"/>
      <c r="G12" s="869"/>
      <c r="H12" s="85">
        <f>'Spielplan-Sa'!Q20</f>
        <v>0</v>
      </c>
      <c r="I12" s="86" t="s">
        <v>7</v>
      </c>
      <c r="J12" s="87">
        <f>'Spielplan-Sa'!S20</f>
        <v>0</v>
      </c>
      <c r="K12" s="88">
        <f>'Spielplan-Sa'!AL20</f>
        <v>2</v>
      </c>
      <c r="L12" s="86" t="s">
        <v>7</v>
      </c>
      <c r="M12" s="89">
        <f>'Spielplan-Sa'!AN20</f>
        <v>0</v>
      </c>
      <c r="N12" s="85">
        <f>'Spielplan-Sa'!Q28</f>
        <v>0</v>
      </c>
      <c r="O12" s="86" t="s">
        <v>7</v>
      </c>
      <c r="P12" s="87">
        <f>'Spielplan-Sa'!S28</f>
        <v>0</v>
      </c>
      <c r="Q12" s="88">
        <f>'Spielplan-Sa'!AL28</f>
        <v>2</v>
      </c>
      <c r="R12" s="86" t="s">
        <v>7</v>
      </c>
      <c r="S12" s="89">
        <f>'Spielplan-Sa'!AN28</f>
        <v>0</v>
      </c>
      <c r="T12" s="85">
        <f>'Spielplan-Sa'!Q36</f>
        <v>0</v>
      </c>
      <c r="U12" s="86" t="s">
        <v>7</v>
      </c>
      <c r="V12" s="87">
        <f>'Spielplan-Sa'!S36</f>
        <v>0</v>
      </c>
      <c r="W12" s="88">
        <f>'Spielplan-Sa'!AL36</f>
        <v>2</v>
      </c>
      <c r="X12" s="86" t="s">
        <v>7</v>
      </c>
      <c r="Y12" s="89">
        <f>'Spielplan-Sa'!AN36</f>
        <v>0</v>
      </c>
      <c r="Z12" s="85">
        <f>'Spielplan-Sa'!Q24</f>
        <v>0</v>
      </c>
      <c r="AA12" s="86" t="s">
        <v>7</v>
      </c>
      <c r="AB12" s="87">
        <f>'Spielplan-Sa'!S24</f>
        <v>0</v>
      </c>
      <c r="AC12" s="88">
        <f>'Spielplan-Sa'!AL24</f>
        <v>2</v>
      </c>
      <c r="AD12" s="86" t="s">
        <v>7</v>
      </c>
      <c r="AE12" s="89">
        <f>'Spielplan-Sa'!AN24</f>
        <v>0</v>
      </c>
      <c r="AF12" s="62"/>
      <c r="AG12" s="62"/>
      <c r="AH12" s="62"/>
      <c r="AI12" s="93">
        <f>K12+Q12+W12+AC12</f>
        <v>8</v>
      </c>
      <c r="AJ12" s="39" t="s">
        <v>7</v>
      </c>
      <c r="AK12" s="94">
        <f>M12+S12+Y12+AE12</f>
        <v>0</v>
      </c>
      <c r="AL12" s="45"/>
      <c r="AM12" s="447"/>
      <c r="AN12" s="45"/>
      <c r="AO12" s="447"/>
      <c r="AP12" s="838"/>
    </row>
    <row r="13" spans="1:42" ht="16.5" customHeight="1" thickTop="1">
      <c r="A13" s="833" t="str">
        <f>H7</f>
        <v>TV GH Brettorf</v>
      </c>
      <c r="B13" s="79">
        <f>J10</f>
        <v>6</v>
      </c>
      <c r="C13" s="75" t="s">
        <v>7</v>
      </c>
      <c r="D13" s="90">
        <f>H10</f>
        <v>11</v>
      </c>
      <c r="E13" s="77">
        <f>M10</f>
        <v>14</v>
      </c>
      <c r="F13" s="75" t="s">
        <v>7</v>
      </c>
      <c r="G13" s="78">
        <f>K10</f>
        <v>22</v>
      </c>
      <c r="H13" s="854"/>
      <c r="I13" s="855"/>
      <c r="J13" s="855"/>
      <c r="K13" s="855"/>
      <c r="L13" s="855"/>
      <c r="M13" s="856"/>
      <c r="N13" s="79">
        <f>'Spielplan-Sa'!K25</f>
        <v>9</v>
      </c>
      <c r="O13" s="75" t="s">
        <v>7</v>
      </c>
      <c r="P13" s="76">
        <f>'Spielplan-Sa'!M25</f>
        <v>11</v>
      </c>
      <c r="Q13" s="77">
        <f>'Spielplan-Sa'!AF25</f>
        <v>24</v>
      </c>
      <c r="R13" s="75" t="s">
        <v>7</v>
      </c>
      <c r="S13" s="78">
        <f>'Spielplan-Sa'!AH25</f>
        <v>30</v>
      </c>
      <c r="T13" s="79">
        <f>'Spielplan-Sa'!K32</f>
        <v>11</v>
      </c>
      <c r="U13" s="75" t="s">
        <v>7</v>
      </c>
      <c r="V13" s="76">
        <f>'Spielplan-Sa'!M32</f>
        <v>9</v>
      </c>
      <c r="W13" s="77">
        <f>'Spielplan-Sa'!AF32</f>
        <v>26</v>
      </c>
      <c r="X13" s="75" t="s">
        <v>7</v>
      </c>
      <c r="Y13" s="78">
        <f>'Spielplan-Sa'!AH32</f>
        <v>31</v>
      </c>
      <c r="Z13" s="79">
        <f>'Spielplan-Sa'!K37</f>
        <v>4</v>
      </c>
      <c r="AA13" s="75" t="s">
        <v>7</v>
      </c>
      <c r="AB13" s="76">
        <f>'Spielplan-Sa'!M37</f>
        <v>11</v>
      </c>
      <c r="AC13" s="77">
        <f>'Spielplan-Sa'!AF37</f>
        <v>10</v>
      </c>
      <c r="AD13" s="75" t="s">
        <v>7</v>
      </c>
      <c r="AE13" s="78">
        <f>'Spielplan-Sa'!AH37</f>
        <v>22</v>
      </c>
      <c r="AF13" s="56">
        <f>IF(E13="",0,+E13+IF(Q13="",0,+Q13+IF(W13="",0,+W13+IF(AC13="",0,+AC13))))</f>
        <v>74</v>
      </c>
      <c r="AG13" s="63" t="s">
        <v>7</v>
      </c>
      <c r="AH13" s="58">
        <f>IF(G13="",0,+G13+IF(S13="",0,+S13+IF(Y13="",0,+Y13+IF(AE13="",0,+AE13))))</f>
        <v>105</v>
      </c>
      <c r="AI13" s="51"/>
      <c r="AJ13" s="52"/>
      <c r="AK13" s="43"/>
      <c r="AL13" s="43">
        <f>AF13-AH13</f>
        <v>-31</v>
      </c>
      <c r="AM13" s="445"/>
      <c r="AN13" s="43"/>
      <c r="AO13" s="445"/>
      <c r="AP13" s="836">
        <f>IF('Spielplan-Sa'!AL$37+'Spielplan-Sa'!AN$37=0,"",IF(AO14="","",RANK(AO14,AO$11:AO$23,0)))</f>
        <v>5</v>
      </c>
    </row>
    <row r="14" spans="1:42" ht="16.5" customHeight="1">
      <c r="A14" s="834"/>
      <c r="B14" s="80">
        <f>J11</f>
        <v>8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857"/>
      <c r="I14" s="858"/>
      <c r="J14" s="858"/>
      <c r="K14" s="858"/>
      <c r="L14" s="858"/>
      <c r="M14" s="859"/>
      <c r="N14" s="80">
        <f>'Spielplan-Sa'!N25</f>
        <v>11</v>
      </c>
      <c r="O14" s="81" t="s">
        <v>7</v>
      </c>
      <c r="P14" s="82">
        <f>'Spielplan-Sa'!P25</f>
        <v>8</v>
      </c>
      <c r="Q14" s="83">
        <f>'Spielplan-Sa'!AI25</f>
        <v>1</v>
      </c>
      <c r="R14" s="81" t="s">
        <v>7</v>
      </c>
      <c r="S14" s="84">
        <f>'Spielplan-Sa'!AK25</f>
        <v>2</v>
      </c>
      <c r="T14" s="80">
        <f>'Spielplan-Sa'!N32</f>
        <v>6</v>
      </c>
      <c r="U14" s="81" t="s">
        <v>7</v>
      </c>
      <c r="V14" s="82">
        <f>'Spielplan-Sa'!P32</f>
        <v>11</v>
      </c>
      <c r="W14" s="83">
        <f>'Spielplan-Sa'!AI32</f>
        <v>1</v>
      </c>
      <c r="X14" s="81" t="s">
        <v>7</v>
      </c>
      <c r="Y14" s="84">
        <f>'Spielplan-Sa'!AK32</f>
        <v>2</v>
      </c>
      <c r="Z14" s="80">
        <f>'Spielplan-Sa'!N37</f>
        <v>6</v>
      </c>
      <c r="AA14" s="81" t="s">
        <v>7</v>
      </c>
      <c r="AB14" s="82">
        <f>'Spielplan-Sa'!P37</f>
        <v>11</v>
      </c>
      <c r="AC14" s="83">
        <f>'Spielplan-Sa'!AI37</f>
        <v>0</v>
      </c>
      <c r="AD14" s="81" t="s">
        <v>7</v>
      </c>
      <c r="AE14" s="84">
        <f>'Spielplan-Sa'!AK37</f>
        <v>2</v>
      </c>
      <c r="AF14" s="59">
        <f>IF(E14="",0,+E14+IF(Q14="",0,+Q14+IF(W14="",0,+W14+IF(AC14="",0,+AC14))))</f>
        <v>2</v>
      </c>
      <c r="AG14" s="64" t="s">
        <v>7</v>
      </c>
      <c r="AH14" s="61">
        <f>IF(G14="",0,+G14+IF(S14="",0,+S14+IF(Y14="",0,+Y14+IF(AE14="",0,+AE14))))</f>
        <v>8</v>
      </c>
      <c r="AI14" s="49"/>
      <c r="AJ14" s="3"/>
      <c r="AK14" s="50"/>
      <c r="AL14" s="44"/>
      <c r="AM14" s="446">
        <f>IF(AF14&gt;AH14,IF(AH14=0,9000,AF14/AH14*1000),IF(AF14=0,-9000,AH14/AF14*-1000))</f>
        <v>-4000</v>
      </c>
      <c r="AN14" s="44">
        <f>(AF14-AH14)*10000</f>
        <v>-60000</v>
      </c>
      <c r="AO14" s="446">
        <f>AI15*100000+AN14+AM14+AL13</f>
        <v>-64031</v>
      </c>
      <c r="AP14" s="837"/>
    </row>
    <row r="15" spans="1:42" ht="16.5" customHeight="1" thickBot="1">
      <c r="A15" s="835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860"/>
      <c r="I15" s="861"/>
      <c r="J15" s="861"/>
      <c r="K15" s="861"/>
      <c r="L15" s="861"/>
      <c r="M15" s="862"/>
      <c r="N15" s="85">
        <f>'Spielplan-Sa'!Q25</f>
        <v>4</v>
      </c>
      <c r="O15" s="86" t="s">
        <v>7</v>
      </c>
      <c r="P15" s="87">
        <f>'Spielplan-Sa'!S25</f>
        <v>11</v>
      </c>
      <c r="Q15" s="88">
        <f>'Spielplan-Sa'!AL25</f>
        <v>0</v>
      </c>
      <c r="R15" s="86" t="s">
        <v>7</v>
      </c>
      <c r="S15" s="89">
        <f>'Spielplan-Sa'!AN25</f>
        <v>2</v>
      </c>
      <c r="T15" s="85">
        <f>'Spielplan-Sa'!Q32</f>
        <v>9</v>
      </c>
      <c r="U15" s="86" t="s">
        <v>7</v>
      </c>
      <c r="V15" s="87">
        <f>'Spielplan-Sa'!S32</f>
        <v>11</v>
      </c>
      <c r="W15" s="88">
        <f>'Spielplan-Sa'!AL32</f>
        <v>0</v>
      </c>
      <c r="X15" s="86" t="s">
        <v>7</v>
      </c>
      <c r="Y15" s="89">
        <f>'Spielplan-Sa'!AN32</f>
        <v>2</v>
      </c>
      <c r="Z15" s="85">
        <f>'Spielplan-Sa'!Q37</f>
        <v>0</v>
      </c>
      <c r="AA15" s="86" t="s">
        <v>7</v>
      </c>
      <c r="AB15" s="87">
        <f>'Spielplan-Sa'!S37</f>
        <v>0</v>
      </c>
      <c r="AC15" s="88">
        <f>'Spielplan-Sa'!AL37</f>
        <v>0</v>
      </c>
      <c r="AD15" s="86" t="s">
        <v>7</v>
      </c>
      <c r="AE15" s="89">
        <f>'Spielplan-Sa'!AN37</f>
        <v>2</v>
      </c>
      <c r="AF15" s="62"/>
      <c r="AG15" s="62"/>
      <c r="AH15" s="62"/>
      <c r="AI15" s="93">
        <f>E15+Q15+W15+AC15</f>
        <v>0</v>
      </c>
      <c r="AJ15" s="39" t="s">
        <v>7</v>
      </c>
      <c r="AK15" s="94">
        <f>G15+S15+Y15+AE15</f>
        <v>8</v>
      </c>
      <c r="AL15" s="46"/>
      <c r="AM15" s="448"/>
      <c r="AN15" s="46"/>
      <c r="AO15" s="448"/>
      <c r="AP15" s="838"/>
    </row>
    <row r="16" spans="1:42" ht="16.5" customHeight="1" thickTop="1">
      <c r="A16" s="833" t="str">
        <f>N7</f>
        <v>TV Dinglingen</v>
      </c>
      <c r="B16" s="79">
        <f>P10</f>
        <v>8</v>
      </c>
      <c r="C16" s="75" t="s">
        <v>7</v>
      </c>
      <c r="D16" s="76">
        <f>N10</f>
        <v>11</v>
      </c>
      <c r="E16" s="77">
        <f>S10</f>
        <v>13</v>
      </c>
      <c r="F16" s="75" t="s">
        <v>7</v>
      </c>
      <c r="G16" s="78">
        <f>Q10</f>
        <v>22</v>
      </c>
      <c r="H16" s="79">
        <f>P13</f>
        <v>11</v>
      </c>
      <c r="I16" s="75" t="s">
        <v>7</v>
      </c>
      <c r="J16" s="76">
        <f>N13</f>
        <v>9</v>
      </c>
      <c r="K16" s="77">
        <f>S13</f>
        <v>30</v>
      </c>
      <c r="L16" s="75" t="s">
        <v>7</v>
      </c>
      <c r="M16" s="78">
        <f>Q13</f>
        <v>24</v>
      </c>
      <c r="N16" s="854"/>
      <c r="O16" s="855"/>
      <c r="P16" s="855"/>
      <c r="Q16" s="855"/>
      <c r="R16" s="855"/>
      <c r="S16" s="856"/>
      <c r="T16" s="79">
        <f>'Spielplan-Sa'!K21</f>
        <v>6</v>
      </c>
      <c r="U16" s="75" t="s">
        <v>7</v>
      </c>
      <c r="V16" s="76">
        <f>'Spielplan-Sa'!M21</f>
        <v>11</v>
      </c>
      <c r="W16" s="77">
        <f>'Spielplan-Sa'!AF21</f>
        <v>22</v>
      </c>
      <c r="X16" s="75" t="s">
        <v>7</v>
      </c>
      <c r="Y16" s="78">
        <f>'Spielplan-Sa'!AH21</f>
        <v>31</v>
      </c>
      <c r="Z16" s="79">
        <f>'Spielplan-Sa'!K33</f>
        <v>11</v>
      </c>
      <c r="AA16" s="75" t="s">
        <v>7</v>
      </c>
      <c r="AB16" s="76">
        <f>'Spielplan-Sa'!M33</f>
        <v>5</v>
      </c>
      <c r="AC16" s="77">
        <f>'Spielplan-Sa'!AF33</f>
        <v>22</v>
      </c>
      <c r="AD16" s="75" t="s">
        <v>7</v>
      </c>
      <c r="AE16" s="78">
        <f>'Spielplan-Sa'!AH33</f>
        <v>10</v>
      </c>
      <c r="AF16" s="56">
        <f>IF(E16="",0,+E16+IF(K16="",0,+K16+IF(W16="",0,+W16+IF(AC16="",0,+AC16))))</f>
        <v>87</v>
      </c>
      <c r="AG16" s="63" t="s">
        <v>7</v>
      </c>
      <c r="AH16" s="58">
        <f>IF(G16="",0,+G16+IF(M16="",0,+M16+IF(Y16="",0,+Y16+IF(AE16="",0,+AE16))))</f>
        <v>87</v>
      </c>
      <c r="AI16" s="51"/>
      <c r="AJ16" s="52"/>
      <c r="AK16" s="43"/>
      <c r="AL16" s="43">
        <f>AF16-AH16</f>
        <v>0</v>
      </c>
      <c r="AM16" s="445"/>
      <c r="AN16" s="43"/>
      <c r="AO16" s="445"/>
      <c r="AP16" s="836">
        <f>IF('Spielplan-Sa'!AL$37+'Spielplan-Sa'!AN$37=0,"",IF(AO17="","",RANK(AO17,AO$11:AO$23,0)))</f>
        <v>3</v>
      </c>
    </row>
    <row r="17" spans="1:42" ht="16.5" customHeight="1">
      <c r="A17" s="834"/>
      <c r="B17" s="80">
        <f>P11</f>
        <v>5</v>
      </c>
      <c r="C17" s="81" t="s">
        <v>7</v>
      </c>
      <c r="D17" s="82">
        <f>N11</f>
        <v>11</v>
      </c>
      <c r="E17" s="83">
        <f>S11</f>
        <v>0</v>
      </c>
      <c r="F17" s="81" t="s">
        <v>7</v>
      </c>
      <c r="G17" s="84">
        <f>Q11</f>
        <v>2</v>
      </c>
      <c r="H17" s="80">
        <f>P14</f>
        <v>8</v>
      </c>
      <c r="I17" s="81" t="s">
        <v>7</v>
      </c>
      <c r="J17" s="82">
        <f>N14</f>
        <v>11</v>
      </c>
      <c r="K17" s="83">
        <f>S14</f>
        <v>2</v>
      </c>
      <c r="L17" s="81" t="s">
        <v>7</v>
      </c>
      <c r="M17" s="84">
        <f>Q14</f>
        <v>1</v>
      </c>
      <c r="N17" s="857"/>
      <c r="O17" s="858"/>
      <c r="P17" s="858"/>
      <c r="Q17" s="858"/>
      <c r="R17" s="858"/>
      <c r="S17" s="859"/>
      <c r="T17" s="80">
        <f>'Spielplan-Sa'!N21</f>
        <v>11</v>
      </c>
      <c r="U17" s="81" t="s">
        <v>7</v>
      </c>
      <c r="V17" s="82">
        <f>'Spielplan-Sa'!P21</f>
        <v>9</v>
      </c>
      <c r="W17" s="83">
        <f>'Spielplan-Sa'!AI21</f>
        <v>1</v>
      </c>
      <c r="X17" s="81" t="s">
        <v>7</v>
      </c>
      <c r="Y17" s="84">
        <f>'Spielplan-Sa'!AK21</f>
        <v>2</v>
      </c>
      <c r="Z17" s="80">
        <f>'Spielplan-Sa'!N33</f>
        <v>11</v>
      </c>
      <c r="AA17" s="81" t="s">
        <v>7</v>
      </c>
      <c r="AB17" s="82">
        <f>'Spielplan-Sa'!P33</f>
        <v>5</v>
      </c>
      <c r="AC17" s="83">
        <f>'Spielplan-Sa'!AI33</f>
        <v>2</v>
      </c>
      <c r="AD17" s="81" t="s">
        <v>7</v>
      </c>
      <c r="AE17" s="84">
        <f>'Spielplan-Sa'!AK33</f>
        <v>0</v>
      </c>
      <c r="AF17" s="59">
        <f>IF(E17="",0,+E17+IF(K17="",0,+K17+IF(W17="",0,+W17+IF(AC17="",0,+AC17))))</f>
        <v>5</v>
      </c>
      <c r="AG17" s="64" t="s">
        <v>7</v>
      </c>
      <c r="AH17" s="61">
        <f>IF(G17="",0,+G17+IF(M17="",0,+M17+IF(Y17="",0,+Y17+IF(AE17="",0,+AE17))))</f>
        <v>5</v>
      </c>
      <c r="AI17" s="49"/>
      <c r="AJ17" s="3"/>
      <c r="AK17" s="50"/>
      <c r="AL17" s="44"/>
      <c r="AM17" s="446">
        <f>IF(AF17&gt;AH17,IF(AH17=0,9000,AF17/AH17*1000),IF(AF17=0,-9000,AH17/AF17*-1000))</f>
        <v>-1000</v>
      </c>
      <c r="AN17" s="44">
        <f>(AF17-AH17)*10000</f>
        <v>0</v>
      </c>
      <c r="AO17" s="446">
        <f>AI18*100000+AN17+AM17+AL16</f>
        <v>399000</v>
      </c>
      <c r="AP17" s="837"/>
    </row>
    <row r="18" spans="1:42" ht="16.5" customHeight="1" thickBot="1">
      <c r="A18" s="835"/>
      <c r="B18" s="85">
        <f>P12</f>
        <v>0</v>
      </c>
      <c r="C18" s="86" t="s">
        <v>7</v>
      </c>
      <c r="D18" s="87">
        <f>N12</f>
        <v>0</v>
      </c>
      <c r="E18" s="88">
        <f>S12</f>
        <v>0</v>
      </c>
      <c r="F18" s="86" t="s">
        <v>7</v>
      </c>
      <c r="G18" s="89">
        <f>Q12</f>
        <v>2</v>
      </c>
      <c r="H18" s="85">
        <f>P15</f>
        <v>11</v>
      </c>
      <c r="I18" s="86" t="s">
        <v>7</v>
      </c>
      <c r="J18" s="87">
        <f>N15</f>
        <v>4</v>
      </c>
      <c r="K18" s="88">
        <f>S15</f>
        <v>2</v>
      </c>
      <c r="L18" s="86" t="s">
        <v>7</v>
      </c>
      <c r="M18" s="89">
        <f>Q15</f>
        <v>0</v>
      </c>
      <c r="N18" s="860"/>
      <c r="O18" s="861"/>
      <c r="P18" s="861"/>
      <c r="Q18" s="861"/>
      <c r="R18" s="861"/>
      <c r="S18" s="862"/>
      <c r="T18" s="85">
        <f>'Spielplan-Sa'!Q21</f>
        <v>5</v>
      </c>
      <c r="U18" s="86" t="s">
        <v>7</v>
      </c>
      <c r="V18" s="87">
        <f>'Spielplan-Sa'!S21</f>
        <v>11</v>
      </c>
      <c r="W18" s="88">
        <f>'Spielplan-Sa'!AL21</f>
        <v>0</v>
      </c>
      <c r="X18" s="86" t="s">
        <v>7</v>
      </c>
      <c r="Y18" s="89">
        <f>'Spielplan-Sa'!AN21</f>
        <v>2</v>
      </c>
      <c r="Z18" s="85">
        <f>'Spielplan-Sa'!Q33</f>
        <v>0</v>
      </c>
      <c r="AA18" s="86" t="s">
        <v>7</v>
      </c>
      <c r="AB18" s="87">
        <f>'Spielplan-Sa'!S33</f>
        <v>0</v>
      </c>
      <c r="AC18" s="88">
        <f>'Spielplan-Sa'!AL33</f>
        <v>2</v>
      </c>
      <c r="AD18" s="86" t="s">
        <v>7</v>
      </c>
      <c r="AE18" s="89">
        <f>'Spielplan-Sa'!AN33</f>
        <v>0</v>
      </c>
      <c r="AF18" s="62"/>
      <c r="AG18" s="62"/>
      <c r="AH18" s="62"/>
      <c r="AI18" s="93">
        <f>E18+K18+W18+AC18</f>
        <v>4</v>
      </c>
      <c r="AJ18" s="39" t="s">
        <v>7</v>
      </c>
      <c r="AK18" s="94">
        <f>G18+M18+Y18+AE18</f>
        <v>4</v>
      </c>
      <c r="AL18" s="46"/>
      <c r="AM18" s="448"/>
      <c r="AN18" s="46"/>
      <c r="AO18" s="448"/>
      <c r="AP18" s="838"/>
    </row>
    <row r="19" spans="1:42" ht="16.5" customHeight="1" thickTop="1">
      <c r="A19" s="833" t="str">
        <f>T7</f>
        <v>TV Segnitz</v>
      </c>
      <c r="B19" s="79">
        <f>V10</f>
        <v>7</v>
      </c>
      <c r="C19" s="75" t="s">
        <v>7</v>
      </c>
      <c r="D19" s="76">
        <f>T10</f>
        <v>11</v>
      </c>
      <c r="E19" s="77">
        <f>Y10</f>
        <v>14</v>
      </c>
      <c r="F19" s="75" t="s">
        <v>7</v>
      </c>
      <c r="G19" s="78">
        <f>W10</f>
        <v>22</v>
      </c>
      <c r="H19" s="79">
        <f>V13</f>
        <v>9</v>
      </c>
      <c r="I19" s="75" t="s">
        <v>7</v>
      </c>
      <c r="J19" s="76">
        <f>T13</f>
        <v>11</v>
      </c>
      <c r="K19" s="77">
        <f>Y13</f>
        <v>31</v>
      </c>
      <c r="L19" s="75" t="s">
        <v>7</v>
      </c>
      <c r="M19" s="78">
        <f>W13</f>
        <v>26</v>
      </c>
      <c r="N19" s="79">
        <f>V16</f>
        <v>11</v>
      </c>
      <c r="O19" s="75" t="s">
        <v>7</v>
      </c>
      <c r="P19" s="76">
        <f>T16</f>
        <v>6</v>
      </c>
      <c r="Q19" s="77">
        <f>Y16</f>
        <v>31</v>
      </c>
      <c r="R19" s="75" t="s">
        <v>7</v>
      </c>
      <c r="S19" s="78">
        <f>W16</f>
        <v>22</v>
      </c>
      <c r="T19" s="854"/>
      <c r="U19" s="855"/>
      <c r="V19" s="855"/>
      <c r="W19" s="855"/>
      <c r="X19" s="855"/>
      <c r="Y19" s="856"/>
      <c r="Z19" s="79">
        <f>'Spielplan-Sa'!K29</f>
        <v>11</v>
      </c>
      <c r="AA19" s="75" t="s">
        <v>7</v>
      </c>
      <c r="AB19" s="76">
        <f>'Spielplan-Sa'!M29</f>
        <v>8</v>
      </c>
      <c r="AC19" s="77">
        <f>'Spielplan-Sa'!AF29</f>
        <v>36</v>
      </c>
      <c r="AD19" s="75" t="s">
        <v>7</v>
      </c>
      <c r="AE19" s="78">
        <f>'Spielplan-Sa'!AH29</f>
        <v>29</v>
      </c>
      <c r="AF19" s="56">
        <f>IF(E19="",0,+E19+IF(K19="",0,+K19+IF(Q19="",0,+Q19+IF(AC19="",0,+AC19))))</f>
        <v>112</v>
      </c>
      <c r="AG19" s="63" t="s">
        <v>7</v>
      </c>
      <c r="AH19" s="58">
        <f>IF(G19="",0,+G19+IF(M19="",0,+M19+IF(S19="",0,+S19+IF(AE19="",0,+AE19))))</f>
        <v>99</v>
      </c>
      <c r="AI19" s="51"/>
      <c r="AJ19" s="52"/>
      <c r="AK19" s="43"/>
      <c r="AL19" s="43">
        <f>AF19-AH19</f>
        <v>13</v>
      </c>
      <c r="AM19" s="445"/>
      <c r="AN19" s="43"/>
      <c r="AO19" s="445"/>
      <c r="AP19" s="836">
        <f>IF('Spielplan-Sa'!AL$37+'Spielplan-Sa'!AN$37=0,"",IF(AO20="","",RANK(AO20,AO$11:AO$23,0)))</f>
        <v>2</v>
      </c>
    </row>
    <row r="20" spans="1:42" ht="16.5" customHeight="1">
      <c r="A20" s="834"/>
      <c r="B20" s="80">
        <f>V11</f>
        <v>7</v>
      </c>
      <c r="C20" s="81" t="s">
        <v>7</v>
      </c>
      <c r="D20" s="82">
        <f>T11</f>
        <v>11</v>
      </c>
      <c r="E20" s="83">
        <f>Y11</f>
        <v>0</v>
      </c>
      <c r="F20" s="81" t="s">
        <v>7</v>
      </c>
      <c r="G20" s="84">
        <f>W11</f>
        <v>2</v>
      </c>
      <c r="H20" s="80">
        <f>V14</f>
        <v>11</v>
      </c>
      <c r="I20" s="81" t="s">
        <v>7</v>
      </c>
      <c r="J20" s="82">
        <f>T14</f>
        <v>6</v>
      </c>
      <c r="K20" s="83">
        <f>Y14</f>
        <v>2</v>
      </c>
      <c r="L20" s="81" t="s">
        <v>7</v>
      </c>
      <c r="M20" s="84">
        <f>W14</f>
        <v>1</v>
      </c>
      <c r="N20" s="80">
        <f>V17</f>
        <v>9</v>
      </c>
      <c r="O20" s="81" t="s">
        <v>7</v>
      </c>
      <c r="P20" s="82">
        <f>T17</f>
        <v>11</v>
      </c>
      <c r="Q20" s="83">
        <f>Y17</f>
        <v>2</v>
      </c>
      <c r="R20" s="81" t="s">
        <v>7</v>
      </c>
      <c r="S20" s="84">
        <f>W17</f>
        <v>1</v>
      </c>
      <c r="T20" s="857"/>
      <c r="U20" s="858"/>
      <c r="V20" s="858"/>
      <c r="W20" s="858"/>
      <c r="X20" s="858"/>
      <c r="Y20" s="859"/>
      <c r="Z20" s="80">
        <f>'Spielplan-Sa'!N29</f>
        <v>14</v>
      </c>
      <c r="AA20" s="81" t="s">
        <v>7</v>
      </c>
      <c r="AB20" s="82">
        <f>'Spielplan-Sa'!P29</f>
        <v>15</v>
      </c>
      <c r="AC20" s="83">
        <f>'Spielplan-Sa'!AI29</f>
        <v>2</v>
      </c>
      <c r="AD20" s="81" t="s">
        <v>7</v>
      </c>
      <c r="AE20" s="84">
        <f>'Spielplan-Sa'!AK29</f>
        <v>1</v>
      </c>
      <c r="AF20" s="59">
        <f>IF(E20="",0,+E20+IF(K20="",0,+K20+IF(Q20="",0,+Q20+IF(AC20="",0,+AC20))))</f>
        <v>6</v>
      </c>
      <c r="AG20" s="64" t="s">
        <v>7</v>
      </c>
      <c r="AH20" s="61">
        <f>IF(G20="",0,+G20+IF(M20="",0,+M20+IF(S20="",0,+S20+IF(AE20="",0,+AE20))))</f>
        <v>5</v>
      </c>
      <c r="AI20" s="49"/>
      <c r="AJ20" s="3"/>
      <c r="AK20" s="50"/>
      <c r="AL20" s="44"/>
      <c r="AM20" s="446">
        <f>IF(AF20&gt;AH20,IF(AH20=0,9000,AF20/AH20*1000),IF(AF20=0,-9000,AH20/AF20*-1000))</f>
        <v>1200</v>
      </c>
      <c r="AN20" s="44">
        <f>(AF20-AH20)*10000</f>
        <v>10000</v>
      </c>
      <c r="AO20" s="446">
        <f>AI21*100000+AN20+AM20+AL19</f>
        <v>611213</v>
      </c>
      <c r="AP20" s="837"/>
    </row>
    <row r="21" spans="1:42" ht="16.5" customHeight="1" thickBot="1">
      <c r="A21" s="835"/>
      <c r="B21" s="85">
        <f>V12</f>
        <v>0</v>
      </c>
      <c r="C21" s="86" t="s">
        <v>7</v>
      </c>
      <c r="D21" s="87">
        <f>T12</f>
        <v>0</v>
      </c>
      <c r="E21" s="88">
        <f>Y12</f>
        <v>0</v>
      </c>
      <c r="F21" s="86" t="s">
        <v>7</v>
      </c>
      <c r="G21" s="89">
        <f>W12</f>
        <v>2</v>
      </c>
      <c r="H21" s="85">
        <f>V15</f>
        <v>11</v>
      </c>
      <c r="I21" s="86" t="s">
        <v>7</v>
      </c>
      <c r="J21" s="87">
        <f>T15</f>
        <v>9</v>
      </c>
      <c r="K21" s="88">
        <f>Y15</f>
        <v>2</v>
      </c>
      <c r="L21" s="86" t="s">
        <v>7</v>
      </c>
      <c r="M21" s="89">
        <f>W15</f>
        <v>0</v>
      </c>
      <c r="N21" s="85">
        <f>V18</f>
        <v>11</v>
      </c>
      <c r="O21" s="86" t="s">
        <v>7</v>
      </c>
      <c r="P21" s="87">
        <f>T18</f>
        <v>5</v>
      </c>
      <c r="Q21" s="88">
        <f>Y18</f>
        <v>2</v>
      </c>
      <c r="R21" s="86" t="s">
        <v>7</v>
      </c>
      <c r="S21" s="89">
        <f>W18</f>
        <v>0</v>
      </c>
      <c r="T21" s="860"/>
      <c r="U21" s="861"/>
      <c r="V21" s="861"/>
      <c r="W21" s="861"/>
      <c r="X21" s="861"/>
      <c r="Y21" s="862"/>
      <c r="Z21" s="85">
        <f>'Spielplan-Sa'!Q29</f>
        <v>11</v>
      </c>
      <c r="AA21" s="86" t="s">
        <v>7</v>
      </c>
      <c r="AB21" s="87">
        <f>'Spielplan-Sa'!S29</f>
        <v>6</v>
      </c>
      <c r="AC21" s="88">
        <f>'Spielplan-Sa'!AL29</f>
        <v>2</v>
      </c>
      <c r="AD21" s="86" t="s">
        <v>7</v>
      </c>
      <c r="AE21" s="89">
        <f>'Spielplan-Sa'!AN29</f>
        <v>0</v>
      </c>
      <c r="AF21" s="62"/>
      <c r="AG21" s="62"/>
      <c r="AH21" s="62"/>
      <c r="AI21" s="93">
        <f>E21+K21+Q21+AC21</f>
        <v>6</v>
      </c>
      <c r="AJ21" s="39" t="s">
        <v>7</v>
      </c>
      <c r="AK21" s="94">
        <f>G21+M21+S21+AE21</f>
        <v>2</v>
      </c>
      <c r="AL21" s="46"/>
      <c r="AM21" s="448"/>
      <c r="AN21" s="46"/>
      <c r="AO21" s="448"/>
      <c r="AP21" s="838"/>
    </row>
    <row r="22" spans="1:42" ht="16.5" customHeight="1" thickTop="1">
      <c r="A22" s="833" t="str">
        <f>Z7</f>
        <v>MSV Buna Schkopau</v>
      </c>
      <c r="B22" s="79">
        <f>AB10</f>
        <v>5</v>
      </c>
      <c r="C22" s="75" t="s">
        <v>7</v>
      </c>
      <c r="D22" s="76">
        <f>Z10</f>
        <v>11</v>
      </c>
      <c r="E22" s="77">
        <f>AE10</f>
        <v>10</v>
      </c>
      <c r="F22" s="75" t="s">
        <v>7</v>
      </c>
      <c r="G22" s="78">
        <f>AC10</f>
        <v>22</v>
      </c>
      <c r="H22" s="79">
        <f>AB13</f>
        <v>11</v>
      </c>
      <c r="I22" s="75" t="s">
        <v>7</v>
      </c>
      <c r="J22" s="76">
        <f>Z13</f>
        <v>4</v>
      </c>
      <c r="K22" s="77">
        <f>AE13</f>
        <v>22</v>
      </c>
      <c r="L22" s="75" t="s">
        <v>7</v>
      </c>
      <c r="M22" s="78">
        <f>AC13</f>
        <v>10</v>
      </c>
      <c r="N22" s="79">
        <f>AB16</f>
        <v>5</v>
      </c>
      <c r="O22" s="75" t="s">
        <v>7</v>
      </c>
      <c r="P22" s="76">
        <f>Z16</f>
        <v>11</v>
      </c>
      <c r="Q22" s="77">
        <f>AE16</f>
        <v>10</v>
      </c>
      <c r="R22" s="75" t="s">
        <v>7</v>
      </c>
      <c r="S22" s="78">
        <f>AC16</f>
        <v>22</v>
      </c>
      <c r="T22" s="79">
        <f>AB19</f>
        <v>8</v>
      </c>
      <c r="U22" s="75" t="s">
        <v>7</v>
      </c>
      <c r="V22" s="76">
        <f>Z19</f>
        <v>11</v>
      </c>
      <c r="W22" s="77">
        <f>AE19</f>
        <v>29</v>
      </c>
      <c r="X22" s="75" t="s">
        <v>7</v>
      </c>
      <c r="Y22" s="78">
        <f>AC19</f>
        <v>36</v>
      </c>
      <c r="Z22" s="854"/>
      <c r="AA22" s="855"/>
      <c r="AB22" s="855"/>
      <c r="AC22" s="855"/>
      <c r="AD22" s="855"/>
      <c r="AE22" s="856"/>
      <c r="AF22" s="56">
        <f>IF(E22="",0,+E22+IF(K22="",0,+K22+IF(Q22="",0,+Q22+IF(W22="",0,+W22))))</f>
        <v>71</v>
      </c>
      <c r="AG22" s="63" t="s">
        <v>7</v>
      </c>
      <c r="AH22" s="58">
        <f>IF(G22="",0,+G22+IF(M22="",0,+M22+IF(S22="",0,+S22+IF(Y22="",0,+Y22))))</f>
        <v>90</v>
      </c>
      <c r="AI22" s="51"/>
      <c r="AJ22" s="52"/>
      <c r="AK22" s="43"/>
      <c r="AL22" s="43">
        <f>AF22-AH22</f>
        <v>-19</v>
      </c>
      <c r="AM22" s="445"/>
      <c r="AN22" s="43"/>
      <c r="AO22" s="445"/>
      <c r="AP22" s="836">
        <f>IF('Spielplan-Sa'!AL$37+'Spielplan-Sa'!AN$37=0,"",IF(AO23="","",RANK(AO23,AO$11:AO$23,0)))</f>
        <v>4</v>
      </c>
    </row>
    <row r="23" spans="1:42" ht="16.5" customHeight="1">
      <c r="A23" s="834"/>
      <c r="B23" s="80">
        <f>AB11</f>
        <v>5</v>
      </c>
      <c r="C23" s="81" t="s">
        <v>7</v>
      </c>
      <c r="D23" s="82">
        <f>Z11</f>
        <v>11</v>
      </c>
      <c r="E23" s="83">
        <f>AE11</f>
        <v>0</v>
      </c>
      <c r="F23" s="81" t="s">
        <v>7</v>
      </c>
      <c r="G23" s="84">
        <f>AC11</f>
        <v>2</v>
      </c>
      <c r="H23" s="80">
        <f>AB14</f>
        <v>11</v>
      </c>
      <c r="I23" s="81" t="s">
        <v>7</v>
      </c>
      <c r="J23" s="82">
        <f>Z14</f>
        <v>6</v>
      </c>
      <c r="K23" s="83">
        <f>AE14</f>
        <v>2</v>
      </c>
      <c r="L23" s="81" t="s">
        <v>7</v>
      </c>
      <c r="M23" s="84">
        <f>AC14</f>
        <v>0</v>
      </c>
      <c r="N23" s="80">
        <f>AB17</f>
        <v>5</v>
      </c>
      <c r="O23" s="81" t="s">
        <v>7</v>
      </c>
      <c r="P23" s="82">
        <f>Z17</f>
        <v>11</v>
      </c>
      <c r="Q23" s="83">
        <f>AE17</f>
        <v>0</v>
      </c>
      <c r="R23" s="81" t="s">
        <v>7</v>
      </c>
      <c r="S23" s="84">
        <f>AC17</f>
        <v>2</v>
      </c>
      <c r="T23" s="80">
        <f>AB20</f>
        <v>15</v>
      </c>
      <c r="U23" s="81" t="s">
        <v>7</v>
      </c>
      <c r="V23" s="82">
        <f>Z20</f>
        <v>14</v>
      </c>
      <c r="W23" s="83">
        <f>AE20</f>
        <v>1</v>
      </c>
      <c r="X23" s="81" t="s">
        <v>7</v>
      </c>
      <c r="Y23" s="84">
        <f>AC20</f>
        <v>2</v>
      </c>
      <c r="Z23" s="857"/>
      <c r="AA23" s="858"/>
      <c r="AB23" s="858"/>
      <c r="AC23" s="858"/>
      <c r="AD23" s="858"/>
      <c r="AE23" s="859"/>
      <c r="AF23" s="59">
        <f>IF(E23="",0,+E23+IF(K23="",0,+K23+IF(Q23="",0,+Q23+IF(W23="",0,+W23))))</f>
        <v>3</v>
      </c>
      <c r="AG23" s="64" t="s">
        <v>7</v>
      </c>
      <c r="AH23" s="61">
        <f>IF(G23="",0,+G23+IF(M23="",0,+M23+IF(S23="",0,+S23+IF(Y23="",0,+Y23))))</f>
        <v>6</v>
      </c>
      <c r="AI23" s="49"/>
      <c r="AJ23" s="3"/>
      <c r="AK23" s="50"/>
      <c r="AL23" s="44"/>
      <c r="AM23" s="446">
        <f>IF(AF23&gt;AH23,IF(AH23=0,9000,AF23/AH23*1000),IF(AF23=0,-9000,AH23/AF23*-1000))</f>
        <v>-2000</v>
      </c>
      <c r="AN23" s="44">
        <f>(AF23-AH23)*10000</f>
        <v>-30000</v>
      </c>
      <c r="AO23" s="446">
        <f>AI24*100000+AN23+AM23+AL22</f>
        <v>167981</v>
      </c>
      <c r="AP23" s="837"/>
    </row>
    <row r="24" spans="1:42" ht="16.5" customHeight="1" thickBot="1">
      <c r="A24" s="835"/>
      <c r="B24" s="85">
        <f>AB12</f>
        <v>0</v>
      </c>
      <c r="C24" s="86" t="s">
        <v>7</v>
      </c>
      <c r="D24" s="87">
        <f>Z12</f>
        <v>0</v>
      </c>
      <c r="E24" s="88">
        <f>AE12</f>
        <v>0</v>
      </c>
      <c r="F24" s="86" t="s">
        <v>7</v>
      </c>
      <c r="G24" s="89">
        <f>AC12</f>
        <v>2</v>
      </c>
      <c r="H24" s="85">
        <f>AB15</f>
        <v>0</v>
      </c>
      <c r="I24" s="86" t="s">
        <v>7</v>
      </c>
      <c r="J24" s="87">
        <f>Z15</f>
        <v>0</v>
      </c>
      <c r="K24" s="88">
        <f>AE15</f>
        <v>2</v>
      </c>
      <c r="L24" s="86" t="s">
        <v>7</v>
      </c>
      <c r="M24" s="89">
        <f>AC15</f>
        <v>0</v>
      </c>
      <c r="N24" s="85">
        <f>AB18</f>
        <v>0</v>
      </c>
      <c r="O24" s="86" t="s">
        <v>7</v>
      </c>
      <c r="P24" s="87">
        <f>Z18</f>
        <v>0</v>
      </c>
      <c r="Q24" s="88">
        <f>AE18</f>
        <v>0</v>
      </c>
      <c r="R24" s="86" t="s">
        <v>7</v>
      </c>
      <c r="S24" s="89">
        <f>AC18</f>
        <v>2</v>
      </c>
      <c r="T24" s="85">
        <f>AB21</f>
        <v>6</v>
      </c>
      <c r="U24" s="86" t="s">
        <v>7</v>
      </c>
      <c r="V24" s="87">
        <f>Z21</f>
        <v>11</v>
      </c>
      <c r="W24" s="88">
        <f>AE21</f>
        <v>0</v>
      </c>
      <c r="X24" s="86" t="s">
        <v>7</v>
      </c>
      <c r="Y24" s="89">
        <f>AC21</f>
        <v>2</v>
      </c>
      <c r="Z24" s="860"/>
      <c r="AA24" s="861"/>
      <c r="AB24" s="861"/>
      <c r="AC24" s="861"/>
      <c r="AD24" s="861"/>
      <c r="AE24" s="862"/>
      <c r="AF24" s="65"/>
      <c r="AG24" s="66"/>
      <c r="AH24" s="67"/>
      <c r="AI24" s="93">
        <f>E24+K24+Q24+W24</f>
        <v>2</v>
      </c>
      <c r="AJ24" s="39" t="s">
        <v>7</v>
      </c>
      <c r="AK24" s="94">
        <f>G24+M24+S24+Y24</f>
        <v>6</v>
      </c>
      <c r="AL24" s="46"/>
      <c r="AM24" s="448"/>
      <c r="AN24" s="46"/>
      <c r="AO24" s="448"/>
      <c r="AP24" s="838"/>
    </row>
    <row r="25" ht="9" customHeight="1" thickTop="1"/>
    <row r="26" spans="32:42" s="10" customFormat="1" ht="18" customHeight="1" hidden="1">
      <c r="AF26" s="11">
        <f>AF10+AF13+AF16+AF19+AF22</f>
        <v>432</v>
      </c>
      <c r="AG26" s="11"/>
      <c r="AH26" s="11">
        <f>AH10+AH13+AH16+AH19+AH22</f>
        <v>432</v>
      </c>
      <c r="AI26" s="11"/>
      <c r="AJ26" s="11"/>
      <c r="AK26" s="11"/>
      <c r="AL26" s="11"/>
      <c r="AM26" s="449"/>
      <c r="AN26" s="11"/>
      <c r="AO26" s="449"/>
      <c r="AP26" s="25">
        <f>IF(AP10="",0,AP10+AP13+AP16+AP19+AP22)</f>
        <v>15</v>
      </c>
    </row>
    <row r="27" spans="32:42" s="10" customFormat="1" ht="18" customHeight="1" hidden="1">
      <c r="AF27" s="11">
        <f>AF11+AF14+AF17+AF20+AF23</f>
        <v>24</v>
      </c>
      <c r="AG27" s="11"/>
      <c r="AH27" s="11">
        <f>AH11+AH14+AH17+AH20+AH23</f>
        <v>24</v>
      </c>
      <c r="AI27" s="11"/>
      <c r="AJ27" s="11"/>
      <c r="AK27" s="11"/>
      <c r="AL27" s="11"/>
      <c r="AM27" s="449"/>
      <c r="AN27" s="11"/>
      <c r="AO27" s="449"/>
      <c r="AP27" s="25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49"/>
      <c r="AN28" s="11"/>
      <c r="AO28" s="449"/>
      <c r="AP28" s="25"/>
    </row>
    <row r="29" spans="1:42" ht="23.25">
      <c r="A29" s="841" t="s">
        <v>46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841"/>
      <c r="AL29" s="841"/>
      <c r="AM29" s="841"/>
      <c r="AN29" s="841"/>
      <c r="AO29" s="841"/>
      <c r="AP29" s="841"/>
    </row>
    <row r="30" ht="6" customHeight="1"/>
    <row r="31" spans="8:31" ht="20.25">
      <c r="H31" s="6" t="s">
        <v>41</v>
      </c>
      <c r="I31" s="6"/>
      <c r="J31" s="30" t="str">
        <f>IF(AP$10=1,A$10,IF(AP$13=1,A$13,IF(AP$16=1,A$16,IF(AP$19=1,A$19,IF(AP$22=1,A$22,"")))))</f>
        <v>ETV  Hamburg</v>
      </c>
      <c r="K31" s="6"/>
      <c r="L31" s="6"/>
      <c r="M31" s="6"/>
      <c r="Z31" s="1">
        <f>IF(AP$10=1,AI$12,IF(AP$13=1,AI$15,IF(AP$16=1,AI$18,IF(AP$19=1,AI$21,IF(AP$22=1,AI$24,"")))))</f>
        <v>8</v>
      </c>
      <c r="AA31" s="1" t="s">
        <v>7</v>
      </c>
      <c r="AB31" s="1">
        <f>IF(AP$10=1,AK$12,IF(AP$13=1,AK$15,IF(AP$16=1,AK$18,IF(AP$19=1,AK$21,IF(AP$22=1,AK$24,"")))))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IF(AP$10=2,A$10,IF(AP$13=2,A$13,IF(AP$16=2,A$16,IF(AP$19=2,A$19,IF(AP$22=2,A$22,"")))))</f>
        <v>TV Segnitz</v>
      </c>
      <c r="K32" s="6"/>
      <c r="L32" s="6"/>
      <c r="M32" s="6"/>
      <c r="Z32" s="1">
        <f>IF(AP$10=2,AI$12,IF(AP$13=2,AI$15,IF(AP$16=2,AI$18,IF(AP$19=2,AI$21,IF(AP$22=2,AI$24,"")))))</f>
        <v>6</v>
      </c>
      <c r="AA32" s="1" t="s">
        <v>7</v>
      </c>
      <c r="AB32" s="1">
        <f>IF(AP$10=2,AK$12,IF(AP$13=2,AK$15,IF(AP$16=2,AK$18,IF(AP$19=2,AK$21,IF(AP$22=2,AK$24,"")))))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IF(AP$10=3,A$10,IF(AP$13=3,A$13,IF(AP$16=3,A$16,IF(AP$19=3,A$19,IF(AP$22=3,A$22,"")))))</f>
        <v>TV Dinglingen</v>
      </c>
      <c r="K33" s="6"/>
      <c r="L33" s="6"/>
      <c r="M33" s="6"/>
      <c r="Z33" s="1">
        <f>IF(AP$10=3,AI$12,IF(AP$13=3,AI$15,IF(AP$16=3,AI$18,IF(AP$19=3,AI$21,IF(AP$22=3,AI$24,"")))))</f>
        <v>4</v>
      </c>
      <c r="AA33" s="1" t="s">
        <v>7</v>
      </c>
      <c r="AB33" s="1">
        <f>IF(AP$10=3,AK$12,IF(AP$13=3,AK$15,IF(AP$16=3,AK$18,IF(AP$19=3,AK$21,IF(AP$22=3,AK$24,"")))))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IF(AP$10=4,A$10,IF(AP$13=4,A$13,IF(AP$16=4,A$16,IF(AP$19=4,A$19,IF(AP$22=4,A$22,"")))))</f>
        <v>MSV Buna Schkopau</v>
      </c>
      <c r="K34" s="6"/>
      <c r="L34" s="6"/>
      <c r="M34" s="6"/>
      <c r="Z34" s="1">
        <f>IF(AP$10=4,AI$12,IF(AP$13=4,AI$15,IF(AP$16=4,AI$18,IF(AP$19=4,AI$21,IF(AP$22=4,AI$24,"")))))</f>
        <v>2</v>
      </c>
      <c r="AA34" s="1" t="s">
        <v>7</v>
      </c>
      <c r="AB34" s="1">
        <f>IF(AP$10=4,AK$12,IF(AP$13=4,AK$15,IF(AP$16=4,AK$18,IF(AP$19=4,AK$21,IF(AP$22=4,AK$24,"")))))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IF(AP$10=5,A$10,IF(AP$13=5,A$13,IF(AP$16=5,A$16,IF(AP$19=5,A$19,IF(AP$22=5,A$22,"")))))</f>
        <v>TV GH Brettorf</v>
      </c>
      <c r="K35" s="6"/>
      <c r="L35" s="6"/>
      <c r="M35" s="6"/>
      <c r="Z35" s="1">
        <f>IF(AP$10=5,AI$12,IF(AP$13=5,AI$15,IF(AP$16=5,AI$18,IF(AP$19=5,AI$21,IF(AP$22=5,AI$24,"")))))</f>
        <v>0</v>
      </c>
      <c r="AA35" s="1" t="s">
        <v>7</v>
      </c>
      <c r="AB35" s="1">
        <f>IF(AP$10=5,AK$12,IF(AP$13=5,AK$15,IF(AP$16=5,AK$18,IF(AP$19=5,AK$21,IF(AP$22=5,AK$24,"")))))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0">
    <mergeCell ref="T5:AP5"/>
    <mergeCell ref="AP7:AP9"/>
    <mergeCell ref="B7:G9"/>
    <mergeCell ref="C1:AH1"/>
    <mergeCell ref="C3:AH3"/>
    <mergeCell ref="T4:Z4"/>
    <mergeCell ref="AB4:AH4"/>
    <mergeCell ref="D4:N4"/>
    <mergeCell ref="N6:S6"/>
    <mergeCell ref="T6:Y6"/>
    <mergeCell ref="B11:D11"/>
    <mergeCell ref="E10:G10"/>
    <mergeCell ref="E11:G11"/>
    <mergeCell ref="A5:P5"/>
    <mergeCell ref="H6:M6"/>
    <mergeCell ref="B10:D10"/>
    <mergeCell ref="E12:G12"/>
    <mergeCell ref="AI9:AK9"/>
    <mergeCell ref="Z7:AE9"/>
    <mergeCell ref="T7:Y9"/>
    <mergeCell ref="A29:AP29"/>
    <mergeCell ref="H7:M9"/>
    <mergeCell ref="N7:S9"/>
    <mergeCell ref="H13:M15"/>
    <mergeCell ref="N16:S18"/>
    <mergeCell ref="T19:Y21"/>
    <mergeCell ref="Z22:AE24"/>
    <mergeCell ref="AF7:AH7"/>
    <mergeCell ref="AF8:AH8"/>
    <mergeCell ref="AP16:AP18"/>
    <mergeCell ref="A16:A18"/>
    <mergeCell ref="AP19:AP21"/>
    <mergeCell ref="AP22:AP24"/>
    <mergeCell ref="AP10:AP12"/>
    <mergeCell ref="AP13:AP15"/>
    <mergeCell ref="A22:A24"/>
    <mergeCell ref="A10:A12"/>
    <mergeCell ref="A19:A21"/>
    <mergeCell ref="A13:A15"/>
    <mergeCell ref="B12:D12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P36"/>
  <sheetViews>
    <sheetView zoomScalePageLayoutView="0" workbookViewId="0" topLeftCell="A1">
      <selection activeCell="B7" sqref="B7:M9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0" hidden="1" customWidth="1"/>
    <col min="39" max="39" width="12.7109375" style="451" hidden="1" customWidth="1"/>
    <col min="40" max="40" width="8.7109375" style="10" hidden="1" customWidth="1"/>
    <col min="41" max="41" width="16.421875" style="451" hidden="1" customWidth="1"/>
    <col min="42" max="42" width="9.140625" style="0" customWidth="1"/>
  </cols>
  <sheetData>
    <row r="1" spans="3:41" ht="30" customHeight="1">
      <c r="C1" s="640" t="s">
        <v>129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32"/>
      <c r="AJ1" s="32"/>
      <c r="AK1" s="32"/>
      <c r="AL1" s="69"/>
      <c r="AM1" s="450"/>
      <c r="AN1" s="69"/>
      <c r="AO1" s="450"/>
    </row>
    <row r="2" ht="8.25" customHeight="1"/>
    <row r="3" spans="3:41" ht="28.5" customHeight="1">
      <c r="C3" s="841" t="str">
        <f>IF(Mannschaften!D2="","",Mannschaften!D2)</f>
        <v>Deutsche Meisterschaft der Senioren  Feld   2010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38"/>
      <c r="AJ3" s="38"/>
      <c r="AK3" s="38"/>
      <c r="AL3" s="70"/>
      <c r="AM3" s="452"/>
      <c r="AN3" s="70"/>
      <c r="AO3" s="452"/>
    </row>
    <row r="4" spans="2:42" ht="18.75" customHeight="1">
      <c r="B4" s="27"/>
      <c r="C4" s="27"/>
      <c r="D4" s="886" t="str">
        <f>IF(Mannschaften!F4="","",Mannschaften!F4)</f>
        <v>Waghäusel</v>
      </c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27"/>
      <c r="P4" s="27"/>
      <c r="Q4" s="27"/>
      <c r="R4" s="27"/>
      <c r="S4" s="27"/>
      <c r="T4" s="884">
        <f>Mannschaften!K4</f>
        <v>40425</v>
      </c>
      <c r="U4" s="884"/>
      <c r="V4" s="884"/>
      <c r="W4" s="884"/>
      <c r="X4" s="884"/>
      <c r="Y4" s="884"/>
      <c r="Z4" s="884"/>
      <c r="AA4" s="27" t="s">
        <v>112</v>
      </c>
      <c r="AB4" s="885">
        <f>Mannschaften!M4</f>
        <v>40426</v>
      </c>
      <c r="AC4" s="885"/>
      <c r="AD4" s="885"/>
      <c r="AE4" s="885"/>
      <c r="AF4" s="885"/>
      <c r="AG4" s="885"/>
      <c r="AH4" s="885"/>
      <c r="AI4" s="40"/>
      <c r="AJ4" s="40"/>
      <c r="AK4" s="40"/>
      <c r="AL4" s="71"/>
      <c r="AM4" s="453"/>
      <c r="AN4" s="71"/>
      <c r="AO4" s="453"/>
      <c r="AP4" s="27"/>
    </row>
    <row r="5" spans="1:42" ht="23.25" customHeight="1">
      <c r="A5" s="878" t="str">
        <f>Mannschaften!A5</f>
        <v>Ausrichter:     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36"/>
      <c r="R5" s="36"/>
      <c r="S5" s="36"/>
      <c r="T5" s="881" t="str">
        <f>IF(Mannschaften!I5="","",Mannschaften!I5)</f>
        <v>TSV Wiesental</v>
      </c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881"/>
    </row>
    <row r="6" spans="8:25" ht="25.5" customHeight="1" thickBot="1">
      <c r="H6" s="879"/>
      <c r="I6" s="879"/>
      <c r="J6" s="879"/>
      <c r="K6" s="879"/>
      <c r="L6" s="879"/>
      <c r="M6" s="879"/>
      <c r="N6" s="879" t="str">
        <f>Mannschaften!H3</f>
        <v>M 45</v>
      </c>
      <c r="O6" s="879"/>
      <c r="P6" s="879"/>
      <c r="Q6" s="879"/>
      <c r="R6" s="879"/>
      <c r="S6" s="879"/>
      <c r="T6" s="879" t="s">
        <v>6</v>
      </c>
      <c r="U6" s="879"/>
      <c r="V6" s="879"/>
      <c r="W6" s="879"/>
      <c r="X6" s="879"/>
      <c r="Y6" s="879"/>
    </row>
    <row r="7" spans="1:42" ht="16.5" customHeight="1" thickTop="1">
      <c r="A7" s="5" t="s">
        <v>27</v>
      </c>
      <c r="B7" s="842" t="str">
        <f>'Spielplan-Sa'!T10</f>
        <v>TV Klarenthal</v>
      </c>
      <c r="C7" s="843"/>
      <c r="D7" s="843"/>
      <c r="E7" s="843"/>
      <c r="F7" s="843"/>
      <c r="G7" s="844"/>
      <c r="H7" s="842" t="str">
        <f>'Spielplan-Sa'!T11</f>
        <v>TV Wünschmichelbach</v>
      </c>
      <c r="I7" s="843"/>
      <c r="J7" s="843"/>
      <c r="K7" s="843"/>
      <c r="L7" s="843"/>
      <c r="M7" s="844"/>
      <c r="N7" s="848" t="str">
        <f>'Spielplan-Sa'!T12</f>
        <v>TSV Bayer Leverkusen</v>
      </c>
      <c r="O7" s="849"/>
      <c r="P7" s="849"/>
      <c r="Q7" s="849"/>
      <c r="R7" s="849"/>
      <c r="S7" s="850"/>
      <c r="T7" s="842" t="str">
        <f>'Spielplan-Sa'!T13</f>
        <v>VfB Stuttgart</v>
      </c>
      <c r="U7" s="843"/>
      <c r="V7" s="843"/>
      <c r="W7" s="843"/>
      <c r="X7" s="843"/>
      <c r="Y7" s="844"/>
      <c r="Z7" s="842" t="str">
        <f>'Spielplan-Sa'!T14</f>
        <v>SG Stern Kaulsdorf</v>
      </c>
      <c r="AA7" s="843"/>
      <c r="AB7" s="843"/>
      <c r="AC7" s="843"/>
      <c r="AD7" s="843"/>
      <c r="AE7" s="844"/>
      <c r="AF7" s="863" t="s">
        <v>36</v>
      </c>
      <c r="AG7" s="864"/>
      <c r="AH7" s="865"/>
      <c r="AI7" s="47"/>
      <c r="AJ7" s="48"/>
      <c r="AK7" s="41"/>
      <c r="AL7" s="72"/>
      <c r="AM7" s="454"/>
      <c r="AN7" s="72"/>
      <c r="AO7" s="454"/>
      <c r="AP7" s="882" t="s">
        <v>37</v>
      </c>
    </row>
    <row r="8" spans="1:42" ht="16.5" customHeight="1">
      <c r="A8" s="37"/>
      <c r="B8" s="845"/>
      <c r="C8" s="846"/>
      <c r="D8" s="846"/>
      <c r="E8" s="846"/>
      <c r="F8" s="846"/>
      <c r="G8" s="847"/>
      <c r="H8" s="845"/>
      <c r="I8" s="846"/>
      <c r="J8" s="846"/>
      <c r="K8" s="846"/>
      <c r="L8" s="846"/>
      <c r="M8" s="847"/>
      <c r="N8" s="851"/>
      <c r="O8" s="852"/>
      <c r="P8" s="852"/>
      <c r="Q8" s="852"/>
      <c r="R8" s="852"/>
      <c r="S8" s="853"/>
      <c r="T8" s="845"/>
      <c r="U8" s="846"/>
      <c r="V8" s="846"/>
      <c r="W8" s="846"/>
      <c r="X8" s="846"/>
      <c r="Y8" s="847"/>
      <c r="Z8" s="845"/>
      <c r="AA8" s="846"/>
      <c r="AB8" s="846"/>
      <c r="AC8" s="846"/>
      <c r="AD8" s="846"/>
      <c r="AE8" s="847"/>
      <c r="AF8" s="866" t="s">
        <v>140</v>
      </c>
      <c r="AG8" s="867"/>
      <c r="AH8" s="868"/>
      <c r="AI8" s="49"/>
      <c r="AJ8" s="3"/>
      <c r="AK8" s="50"/>
      <c r="AL8" s="73" t="s">
        <v>158</v>
      </c>
      <c r="AM8" s="455" t="s">
        <v>136</v>
      </c>
      <c r="AN8" s="73" t="s">
        <v>136</v>
      </c>
      <c r="AO8" s="455" t="s">
        <v>37</v>
      </c>
      <c r="AP8" s="883"/>
    </row>
    <row r="9" spans="1:42" ht="16.5" customHeight="1" thickBot="1">
      <c r="A9" s="37"/>
      <c r="B9" s="845"/>
      <c r="C9" s="846"/>
      <c r="D9" s="846"/>
      <c r="E9" s="846"/>
      <c r="F9" s="846"/>
      <c r="G9" s="847"/>
      <c r="H9" s="845"/>
      <c r="I9" s="846"/>
      <c r="J9" s="846"/>
      <c r="K9" s="846"/>
      <c r="L9" s="846"/>
      <c r="M9" s="847"/>
      <c r="N9" s="851"/>
      <c r="O9" s="852"/>
      <c r="P9" s="852"/>
      <c r="Q9" s="852"/>
      <c r="R9" s="852"/>
      <c r="S9" s="853"/>
      <c r="T9" s="845"/>
      <c r="U9" s="846"/>
      <c r="V9" s="846"/>
      <c r="W9" s="846"/>
      <c r="X9" s="846"/>
      <c r="Y9" s="847"/>
      <c r="Z9" s="845"/>
      <c r="AA9" s="846"/>
      <c r="AB9" s="846"/>
      <c r="AC9" s="846"/>
      <c r="AD9" s="846"/>
      <c r="AE9" s="847"/>
      <c r="AI9" s="870" t="s">
        <v>35</v>
      </c>
      <c r="AJ9" s="871"/>
      <c r="AK9" s="872"/>
      <c r="AL9" s="73" t="s">
        <v>159</v>
      </c>
      <c r="AM9" s="455" t="s">
        <v>160</v>
      </c>
      <c r="AN9" s="73" t="s">
        <v>159</v>
      </c>
      <c r="AO9" s="455" t="s">
        <v>161</v>
      </c>
      <c r="AP9" s="883"/>
    </row>
    <row r="10" spans="1:42" ht="16.5" customHeight="1" thickTop="1">
      <c r="A10" s="833" t="str">
        <f>B7</f>
        <v>TV Klarenthal</v>
      </c>
      <c r="B10" s="880" t="s">
        <v>146</v>
      </c>
      <c r="C10" s="875"/>
      <c r="D10" s="875"/>
      <c r="E10" s="875" t="s">
        <v>36</v>
      </c>
      <c r="F10" s="875"/>
      <c r="G10" s="876"/>
      <c r="H10" s="74">
        <f>'Spielplan-Sa'!K22</f>
        <v>11</v>
      </c>
      <c r="I10" s="75" t="s">
        <v>7</v>
      </c>
      <c r="J10" s="76">
        <f>'Spielplan-Sa'!M22</f>
        <v>7</v>
      </c>
      <c r="K10" s="77">
        <f>'Spielplan-Sa'!AF22</f>
        <v>22</v>
      </c>
      <c r="L10" s="75" t="s">
        <v>7</v>
      </c>
      <c r="M10" s="78">
        <f>'Spielplan-Sa'!AH22</f>
        <v>15</v>
      </c>
      <c r="N10" s="79">
        <f>'Spielplan-Sa'!K30</f>
        <v>12</v>
      </c>
      <c r="O10" s="75" t="s">
        <v>7</v>
      </c>
      <c r="P10" s="76">
        <f>'Spielplan-Sa'!M30</f>
        <v>10</v>
      </c>
      <c r="Q10" s="77">
        <f>'Spielplan-Sa'!AF30</f>
        <v>30</v>
      </c>
      <c r="R10" s="75" t="s">
        <v>7</v>
      </c>
      <c r="S10" s="78">
        <f>'Spielplan-Sa'!AH30</f>
        <v>32</v>
      </c>
      <c r="T10" s="79">
        <f>'Spielplan-Sa'!K38</f>
        <v>11</v>
      </c>
      <c r="U10" s="75" t="s">
        <v>7</v>
      </c>
      <c r="V10" s="76">
        <f>'Spielplan-Sa'!M38</f>
        <v>8</v>
      </c>
      <c r="W10" s="77">
        <f>'Spielplan-Sa'!AF38</f>
        <v>22</v>
      </c>
      <c r="X10" s="75" t="s">
        <v>7</v>
      </c>
      <c r="Y10" s="78">
        <f>'Spielplan-Sa'!AH38</f>
        <v>13</v>
      </c>
      <c r="Z10" s="79">
        <f>'Spielplan-Sa'!K26</f>
        <v>11</v>
      </c>
      <c r="AA10" s="75" t="s">
        <v>7</v>
      </c>
      <c r="AB10" s="76">
        <f>'Spielplan-Sa'!M26</f>
        <v>9</v>
      </c>
      <c r="AC10" s="77">
        <f>'Spielplan-Sa'!AF26</f>
        <v>26</v>
      </c>
      <c r="AD10" s="75" t="s">
        <v>7</v>
      </c>
      <c r="AE10" s="78">
        <f>'Spielplan-Sa'!AH26</f>
        <v>28</v>
      </c>
      <c r="AF10" s="56">
        <f>IF(K10="",0,+K10+IF(Q10="",0,+Q10+IF(W10="",0,+W10+IF(AC10="",0,+AC10))))</f>
        <v>100</v>
      </c>
      <c r="AG10" s="57" t="s">
        <v>7</v>
      </c>
      <c r="AH10" s="58">
        <f>IF(M10="",0,+M10+IF(S10="",0,+S10+IF(Y10="",0,+Y10+IF(AE10="",0,+AE10))))</f>
        <v>88</v>
      </c>
      <c r="AI10" s="51"/>
      <c r="AJ10" s="52"/>
      <c r="AK10" s="43"/>
      <c r="AL10" s="43">
        <f>AF10-AH10</f>
        <v>12</v>
      </c>
      <c r="AM10" s="445"/>
      <c r="AN10" s="43"/>
      <c r="AO10" s="445"/>
      <c r="AP10" s="836">
        <f>IF('Spielplan-Sa'!AL$39+'Spielplan-Sa'!AN$39=0,"",IF(AO11="","",RANK(AO11,AO$11:AO$23,0)))</f>
        <v>1</v>
      </c>
    </row>
    <row r="11" spans="1:42" ht="16.5" customHeight="1">
      <c r="A11" s="834"/>
      <c r="B11" s="873" t="s">
        <v>138</v>
      </c>
      <c r="C11" s="874"/>
      <c r="D11" s="874"/>
      <c r="E11" s="874" t="s">
        <v>140</v>
      </c>
      <c r="F11" s="874"/>
      <c r="G11" s="877"/>
      <c r="H11" s="80">
        <f>'Spielplan-Sa'!N22</f>
        <v>11</v>
      </c>
      <c r="I11" s="81" t="s">
        <v>7</v>
      </c>
      <c r="J11" s="82">
        <f>'Spielplan-Sa'!P22</f>
        <v>8</v>
      </c>
      <c r="K11" s="83">
        <f>'Spielplan-Sa'!AI22</f>
        <v>2</v>
      </c>
      <c r="L11" s="81" t="s">
        <v>7</v>
      </c>
      <c r="M11" s="84">
        <f>'Spielplan-Sa'!AK22</f>
        <v>0</v>
      </c>
      <c r="N11" s="80">
        <f>'Spielplan-Sa'!N30</f>
        <v>5</v>
      </c>
      <c r="O11" s="81" t="s">
        <v>7</v>
      </c>
      <c r="P11" s="82">
        <f>'Spielplan-Sa'!P30</f>
        <v>11</v>
      </c>
      <c r="Q11" s="83">
        <f>'Spielplan-Sa'!AI30</f>
        <v>2</v>
      </c>
      <c r="R11" s="81" t="s">
        <v>7</v>
      </c>
      <c r="S11" s="84">
        <f>'Spielplan-Sa'!AK30</f>
        <v>1</v>
      </c>
      <c r="T11" s="80">
        <f>'Spielplan-Sa'!N38</f>
        <v>11</v>
      </c>
      <c r="U11" s="81" t="s">
        <v>7</v>
      </c>
      <c r="V11" s="82">
        <f>'Spielplan-Sa'!P38</f>
        <v>5</v>
      </c>
      <c r="W11" s="83">
        <f>'Spielplan-Sa'!AI38</f>
        <v>2</v>
      </c>
      <c r="X11" s="81" t="s">
        <v>7</v>
      </c>
      <c r="Y11" s="84">
        <f>'Spielplan-Sa'!AK38</f>
        <v>0</v>
      </c>
      <c r="Z11" s="80">
        <f>'Spielplan-Sa'!N26</f>
        <v>4</v>
      </c>
      <c r="AA11" s="81" t="s">
        <v>7</v>
      </c>
      <c r="AB11" s="82">
        <f>'Spielplan-Sa'!P26</f>
        <v>11</v>
      </c>
      <c r="AC11" s="83">
        <f>'Spielplan-Sa'!AI26</f>
        <v>2</v>
      </c>
      <c r="AD11" s="81" t="s">
        <v>7</v>
      </c>
      <c r="AE11" s="84">
        <f>'Spielplan-Sa'!AK26</f>
        <v>1</v>
      </c>
      <c r="AF11" s="59">
        <f>IF(K11="",0,+K11+IF(Q11="",0,+Q11+IF(W11="",0,+W11+IF(AC11="",0,+AC11))))</f>
        <v>8</v>
      </c>
      <c r="AG11" s="60" t="s">
        <v>7</v>
      </c>
      <c r="AH11" s="61">
        <f>IF(M11="",0,+M11+IF(S11="",0,+S11+IF(Y11="",0,+Y11+IF(AE11="",0,+AE11))))</f>
        <v>2</v>
      </c>
      <c r="AI11" s="49"/>
      <c r="AJ11" s="3"/>
      <c r="AK11" s="50"/>
      <c r="AL11" s="44"/>
      <c r="AM11" s="446">
        <f>IF(AF11&gt;AH11,IF(AH11=0,9000,AF11/AH11*1000),IF(AF11=0,-9000,AH11/AF11*-1000))</f>
        <v>4000</v>
      </c>
      <c r="AN11" s="44">
        <f>(AF11-AH11)*10000</f>
        <v>60000</v>
      </c>
      <c r="AO11" s="446">
        <f>AI12*100000+AN11+AM11+AL10</f>
        <v>864012</v>
      </c>
      <c r="AP11" s="837"/>
    </row>
    <row r="12" spans="1:42" ht="16.5" customHeight="1" thickBot="1">
      <c r="A12" s="835"/>
      <c r="B12" s="839" t="s">
        <v>139</v>
      </c>
      <c r="C12" s="840"/>
      <c r="D12" s="840"/>
      <c r="E12" s="840" t="s">
        <v>35</v>
      </c>
      <c r="F12" s="840"/>
      <c r="G12" s="869"/>
      <c r="H12" s="85">
        <f>'Spielplan-Sa'!Q22</f>
        <v>0</v>
      </c>
      <c r="I12" s="86" t="s">
        <v>7</v>
      </c>
      <c r="J12" s="87">
        <f>'Spielplan-Sa'!S22</f>
        <v>0</v>
      </c>
      <c r="K12" s="88">
        <f>'Spielplan-Sa'!AL22</f>
        <v>2</v>
      </c>
      <c r="L12" s="86" t="s">
        <v>7</v>
      </c>
      <c r="M12" s="89">
        <f>'Spielplan-Sa'!AN22</f>
        <v>0</v>
      </c>
      <c r="N12" s="85">
        <f>'Spielplan-Sa'!Q30</f>
        <v>13</v>
      </c>
      <c r="O12" s="86" t="s">
        <v>7</v>
      </c>
      <c r="P12" s="87">
        <f>'Spielplan-Sa'!S30</f>
        <v>11</v>
      </c>
      <c r="Q12" s="88">
        <f>'Spielplan-Sa'!AL30</f>
        <v>2</v>
      </c>
      <c r="R12" s="86" t="s">
        <v>7</v>
      </c>
      <c r="S12" s="89">
        <f>'Spielplan-Sa'!AN30</f>
        <v>0</v>
      </c>
      <c r="T12" s="85">
        <f>'Spielplan-Sa'!Q38</f>
        <v>0</v>
      </c>
      <c r="U12" s="86" t="s">
        <v>7</v>
      </c>
      <c r="V12" s="87">
        <f>'Spielplan-Sa'!S38</f>
        <v>0</v>
      </c>
      <c r="W12" s="88">
        <f>'Spielplan-Sa'!AL38</f>
        <v>2</v>
      </c>
      <c r="X12" s="86" t="s">
        <v>7</v>
      </c>
      <c r="Y12" s="89">
        <f>'Spielplan-Sa'!AN38</f>
        <v>0</v>
      </c>
      <c r="Z12" s="85">
        <f>'Spielplan-Sa'!Q26</f>
        <v>11</v>
      </c>
      <c r="AA12" s="86" t="s">
        <v>7</v>
      </c>
      <c r="AB12" s="87">
        <f>'Spielplan-Sa'!S26</f>
        <v>8</v>
      </c>
      <c r="AC12" s="88">
        <f>'Spielplan-Sa'!AL26</f>
        <v>2</v>
      </c>
      <c r="AD12" s="86" t="s">
        <v>7</v>
      </c>
      <c r="AE12" s="89">
        <f>'Spielplan-Sa'!AN26</f>
        <v>0</v>
      </c>
      <c r="AF12" s="62"/>
      <c r="AG12" s="62"/>
      <c r="AH12" s="62"/>
      <c r="AI12" s="93">
        <f>K12+Q12+W12+AC12</f>
        <v>8</v>
      </c>
      <c r="AJ12" s="39" t="s">
        <v>7</v>
      </c>
      <c r="AK12" s="94">
        <f>M12+S12+Y12+AE12</f>
        <v>0</v>
      </c>
      <c r="AL12" s="45"/>
      <c r="AM12" s="447"/>
      <c r="AN12" s="45"/>
      <c r="AO12" s="447"/>
      <c r="AP12" s="838"/>
    </row>
    <row r="13" spans="1:42" ht="16.5" customHeight="1" thickTop="1">
      <c r="A13" s="833" t="str">
        <f>H7</f>
        <v>TV Wünschmichelbach</v>
      </c>
      <c r="B13" s="79">
        <f>J10</f>
        <v>7</v>
      </c>
      <c r="C13" s="75" t="s">
        <v>7</v>
      </c>
      <c r="D13" s="90">
        <f>H10</f>
        <v>11</v>
      </c>
      <c r="E13" s="77">
        <f>M10</f>
        <v>15</v>
      </c>
      <c r="F13" s="75" t="s">
        <v>7</v>
      </c>
      <c r="G13" s="78">
        <f>K10</f>
        <v>22</v>
      </c>
      <c r="H13" s="854"/>
      <c r="I13" s="855"/>
      <c r="J13" s="855"/>
      <c r="K13" s="855"/>
      <c r="L13" s="855"/>
      <c r="M13" s="856"/>
      <c r="N13" s="79">
        <f>'Spielplan-Sa'!K27</f>
        <v>8</v>
      </c>
      <c r="O13" s="75" t="s">
        <v>7</v>
      </c>
      <c r="P13" s="76">
        <f>'Spielplan-Sa'!M27</f>
        <v>11</v>
      </c>
      <c r="Q13" s="77">
        <f>'Spielplan-Sa'!AF27</f>
        <v>18</v>
      </c>
      <c r="R13" s="75" t="s">
        <v>7</v>
      </c>
      <c r="S13" s="78">
        <f>'Spielplan-Sa'!AH27</f>
        <v>23</v>
      </c>
      <c r="T13" s="79">
        <f>'Spielplan-Sa'!K34</f>
        <v>11</v>
      </c>
      <c r="U13" s="75" t="s">
        <v>7</v>
      </c>
      <c r="V13" s="76">
        <f>'Spielplan-Sa'!M34</f>
        <v>5</v>
      </c>
      <c r="W13" s="77">
        <f>'Spielplan-Sa'!AF34</f>
        <v>32</v>
      </c>
      <c r="X13" s="75" t="s">
        <v>7</v>
      </c>
      <c r="Y13" s="78">
        <f>'Spielplan-Sa'!AH34</f>
        <v>25</v>
      </c>
      <c r="Z13" s="79">
        <f>'Spielplan-Sa'!K39</f>
        <v>5</v>
      </c>
      <c r="AA13" s="75" t="s">
        <v>7</v>
      </c>
      <c r="AB13" s="76">
        <f>'Spielplan-Sa'!M39</f>
        <v>11</v>
      </c>
      <c r="AC13" s="77">
        <f>'Spielplan-Sa'!AF39</f>
        <v>28</v>
      </c>
      <c r="AD13" s="75" t="s">
        <v>7</v>
      </c>
      <c r="AE13" s="78">
        <f>'Spielplan-Sa'!AH39</f>
        <v>28</v>
      </c>
      <c r="AF13" s="56">
        <f>IF(E13="",0,+E13+IF(Q13="",0,+Q13+IF(W13="",0,+W13+IF(AC13="",0,+AC13))))</f>
        <v>93</v>
      </c>
      <c r="AG13" s="63" t="s">
        <v>7</v>
      </c>
      <c r="AH13" s="58">
        <f>IF(G13="",0,+G13+IF(S13="",0,+S13+IF(Y13="",0,+Y13+IF(AE13="",0,+AE13))))</f>
        <v>98</v>
      </c>
      <c r="AI13" s="51"/>
      <c r="AJ13" s="52"/>
      <c r="AK13" s="43"/>
      <c r="AL13" s="43">
        <f>AF13-AH13</f>
        <v>-5</v>
      </c>
      <c r="AM13" s="445"/>
      <c r="AN13" s="43"/>
      <c r="AO13" s="445"/>
      <c r="AP13" s="836">
        <f>IF('Spielplan-Sa'!AL$39+'Spielplan-Sa'!AN$39=0,"",IF(AO14="","",RANK(AO14,AO$11:AO$23,0)))</f>
        <v>3</v>
      </c>
    </row>
    <row r="14" spans="1:42" ht="16.5" customHeight="1">
      <c r="A14" s="834"/>
      <c r="B14" s="80">
        <f>J11</f>
        <v>8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857"/>
      <c r="I14" s="858"/>
      <c r="J14" s="858"/>
      <c r="K14" s="858"/>
      <c r="L14" s="858"/>
      <c r="M14" s="859"/>
      <c r="N14" s="80">
        <f>'Spielplan-Sa'!N27</f>
        <v>10</v>
      </c>
      <c r="O14" s="81" t="s">
        <v>7</v>
      </c>
      <c r="P14" s="82">
        <f>'Spielplan-Sa'!P27</f>
        <v>12</v>
      </c>
      <c r="Q14" s="83">
        <f>'Spielplan-Sa'!AI27</f>
        <v>0</v>
      </c>
      <c r="R14" s="81" t="s">
        <v>7</v>
      </c>
      <c r="S14" s="84">
        <f>'Spielplan-Sa'!AK27</f>
        <v>2</v>
      </c>
      <c r="T14" s="80">
        <f>'Spielplan-Sa'!N34</f>
        <v>10</v>
      </c>
      <c r="U14" s="81" t="s">
        <v>7</v>
      </c>
      <c r="V14" s="82">
        <f>'Spielplan-Sa'!P34</f>
        <v>12</v>
      </c>
      <c r="W14" s="83">
        <f>'Spielplan-Sa'!AI34</f>
        <v>2</v>
      </c>
      <c r="X14" s="81" t="s">
        <v>7</v>
      </c>
      <c r="Y14" s="84">
        <f>'Spielplan-Sa'!AK34</f>
        <v>1</v>
      </c>
      <c r="Z14" s="80">
        <f>'Spielplan-Sa'!N39</f>
        <v>11</v>
      </c>
      <c r="AA14" s="81" t="s">
        <v>7</v>
      </c>
      <c r="AB14" s="82">
        <f>'Spielplan-Sa'!P39</f>
        <v>7</v>
      </c>
      <c r="AC14" s="83">
        <f>'Spielplan-Sa'!AI39</f>
        <v>2</v>
      </c>
      <c r="AD14" s="81" t="s">
        <v>7</v>
      </c>
      <c r="AE14" s="84">
        <f>'Spielplan-Sa'!AK39</f>
        <v>1</v>
      </c>
      <c r="AF14" s="59">
        <f>IF(E14="",0,+E14+IF(Q14="",0,+Q14+IF(W14="",0,+W14+IF(AC14="",0,+AC14))))</f>
        <v>4</v>
      </c>
      <c r="AG14" s="64" t="s">
        <v>7</v>
      </c>
      <c r="AH14" s="61">
        <f>IF(G14="",0,+G14+IF(S14="",0,+S14+IF(Y14="",0,+Y14+IF(AE14="",0,+AE14))))</f>
        <v>6</v>
      </c>
      <c r="AI14" s="49"/>
      <c r="AJ14" s="3"/>
      <c r="AK14" s="50"/>
      <c r="AL14" s="44"/>
      <c r="AM14" s="446">
        <f>IF(AF14&gt;AH14,IF(AH14=0,9000,AF14/AH14*1000),IF(AF14=0,-9000,AH14/AF14*-1000))</f>
        <v>-1500</v>
      </c>
      <c r="AN14" s="44">
        <f>(AF14-AH14)*10000</f>
        <v>-20000</v>
      </c>
      <c r="AO14" s="446">
        <f>AI15*100000+AN14+AM14+AL13</f>
        <v>378495</v>
      </c>
      <c r="AP14" s="837"/>
    </row>
    <row r="15" spans="1:42" ht="16.5" customHeight="1" thickBot="1">
      <c r="A15" s="835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860"/>
      <c r="I15" s="861"/>
      <c r="J15" s="861"/>
      <c r="K15" s="861"/>
      <c r="L15" s="861"/>
      <c r="M15" s="862"/>
      <c r="N15" s="85">
        <f>'Spielplan-Sa'!Q27</f>
        <v>0</v>
      </c>
      <c r="O15" s="86" t="s">
        <v>7</v>
      </c>
      <c r="P15" s="87">
        <f>'Spielplan-Sa'!S27</f>
        <v>0</v>
      </c>
      <c r="Q15" s="88">
        <f>'Spielplan-Sa'!AL27</f>
        <v>0</v>
      </c>
      <c r="R15" s="86" t="s">
        <v>7</v>
      </c>
      <c r="S15" s="89">
        <f>'Spielplan-Sa'!AN27</f>
        <v>2</v>
      </c>
      <c r="T15" s="85">
        <f>'Spielplan-Sa'!Q34</f>
        <v>11</v>
      </c>
      <c r="U15" s="86" t="s">
        <v>7</v>
      </c>
      <c r="V15" s="87">
        <f>'Spielplan-Sa'!S34</f>
        <v>8</v>
      </c>
      <c r="W15" s="88">
        <f>'Spielplan-Sa'!AL34</f>
        <v>2</v>
      </c>
      <c r="X15" s="86" t="s">
        <v>7</v>
      </c>
      <c r="Y15" s="89">
        <f>'Spielplan-Sa'!AN34</f>
        <v>0</v>
      </c>
      <c r="Z15" s="85">
        <f>'Spielplan-Sa'!Q39</f>
        <v>12</v>
      </c>
      <c r="AA15" s="86" t="s">
        <v>7</v>
      </c>
      <c r="AB15" s="87">
        <f>'Spielplan-Sa'!S39</f>
        <v>10</v>
      </c>
      <c r="AC15" s="88">
        <f>'Spielplan-Sa'!AL39</f>
        <v>2</v>
      </c>
      <c r="AD15" s="86" t="s">
        <v>7</v>
      </c>
      <c r="AE15" s="89">
        <f>'Spielplan-Sa'!AN39</f>
        <v>0</v>
      </c>
      <c r="AF15" s="62"/>
      <c r="AG15" s="62"/>
      <c r="AH15" s="62"/>
      <c r="AI15" s="93">
        <f>E15+Q15+W15+AC15</f>
        <v>4</v>
      </c>
      <c r="AJ15" s="39" t="s">
        <v>7</v>
      </c>
      <c r="AK15" s="94">
        <f>G15+S15+Y15+AE15</f>
        <v>4</v>
      </c>
      <c r="AL15" s="46"/>
      <c r="AM15" s="448"/>
      <c r="AN15" s="46"/>
      <c r="AO15" s="448"/>
      <c r="AP15" s="838"/>
    </row>
    <row r="16" spans="1:42" ht="16.5" customHeight="1" thickTop="1">
      <c r="A16" s="833" t="str">
        <f>N7</f>
        <v>TSV Bayer Leverkusen</v>
      </c>
      <c r="B16" s="79">
        <f>P10</f>
        <v>10</v>
      </c>
      <c r="C16" s="75" t="s">
        <v>7</v>
      </c>
      <c r="D16" s="76">
        <f>N10</f>
        <v>12</v>
      </c>
      <c r="E16" s="77">
        <f>S10</f>
        <v>32</v>
      </c>
      <c r="F16" s="75" t="s">
        <v>7</v>
      </c>
      <c r="G16" s="78">
        <f>Q10</f>
        <v>30</v>
      </c>
      <c r="H16" s="79">
        <f>P13</f>
        <v>11</v>
      </c>
      <c r="I16" s="75" t="s">
        <v>7</v>
      </c>
      <c r="J16" s="76">
        <f>N13</f>
        <v>8</v>
      </c>
      <c r="K16" s="77">
        <f>S13</f>
        <v>23</v>
      </c>
      <c r="L16" s="75" t="s">
        <v>7</v>
      </c>
      <c r="M16" s="78">
        <f>Q13</f>
        <v>18</v>
      </c>
      <c r="N16" s="854"/>
      <c r="O16" s="855"/>
      <c r="P16" s="855"/>
      <c r="Q16" s="855"/>
      <c r="R16" s="855"/>
      <c r="S16" s="856"/>
      <c r="T16" s="79">
        <f>'Spielplan-Sa'!K23</f>
        <v>7</v>
      </c>
      <c r="U16" s="75" t="s">
        <v>7</v>
      </c>
      <c r="V16" s="76">
        <f>'Spielplan-Sa'!M23</f>
        <v>11</v>
      </c>
      <c r="W16" s="77">
        <f>'Spielplan-Sa'!AF23</f>
        <v>30</v>
      </c>
      <c r="X16" s="75" t="s">
        <v>7</v>
      </c>
      <c r="Y16" s="78">
        <f>'Spielplan-Sa'!AH23</f>
        <v>30</v>
      </c>
      <c r="Z16" s="79">
        <f>'Spielplan-Sa'!K35</f>
        <v>11</v>
      </c>
      <c r="AA16" s="75" t="s">
        <v>7</v>
      </c>
      <c r="AB16" s="76">
        <f>'Spielplan-Sa'!M35</f>
        <v>9</v>
      </c>
      <c r="AC16" s="77">
        <f>'Spielplan-Sa'!AF35</f>
        <v>22</v>
      </c>
      <c r="AD16" s="75" t="s">
        <v>7</v>
      </c>
      <c r="AE16" s="78">
        <f>'Spielplan-Sa'!AH35</f>
        <v>18</v>
      </c>
      <c r="AF16" s="56">
        <f>IF(E16="",0,+E16+IF(K16="",0,+K16+IF(W16="",0,+W16+IF(AC16="",0,+AC16))))</f>
        <v>107</v>
      </c>
      <c r="AG16" s="63" t="s">
        <v>7</v>
      </c>
      <c r="AH16" s="58">
        <f>IF(G16="",0,+G16+IF(M16="",0,+M16+IF(Y16="",0,+Y16+IF(AE16="",0,+AE16))))</f>
        <v>96</v>
      </c>
      <c r="AI16" s="51"/>
      <c r="AJ16" s="52"/>
      <c r="AK16" s="43"/>
      <c r="AL16" s="43">
        <f>AF16-AH16</f>
        <v>11</v>
      </c>
      <c r="AM16" s="445"/>
      <c r="AN16" s="43"/>
      <c r="AO16" s="445"/>
      <c r="AP16" s="836">
        <f>IF('Spielplan-Sa'!AL$39+'Spielplan-Sa'!AN$39=0,"",IF(AO17="","",RANK(AO17,AO$11:AO$23,0)))</f>
        <v>2</v>
      </c>
    </row>
    <row r="17" spans="1:42" ht="16.5" customHeight="1">
      <c r="A17" s="834"/>
      <c r="B17" s="80">
        <f>P11</f>
        <v>11</v>
      </c>
      <c r="C17" s="81" t="s">
        <v>7</v>
      </c>
      <c r="D17" s="82">
        <f>N11</f>
        <v>5</v>
      </c>
      <c r="E17" s="83">
        <f>S11</f>
        <v>1</v>
      </c>
      <c r="F17" s="81" t="s">
        <v>7</v>
      </c>
      <c r="G17" s="84">
        <f>Q11</f>
        <v>2</v>
      </c>
      <c r="H17" s="80">
        <f>P14</f>
        <v>12</v>
      </c>
      <c r="I17" s="81" t="s">
        <v>7</v>
      </c>
      <c r="J17" s="82">
        <f>N14</f>
        <v>10</v>
      </c>
      <c r="K17" s="83">
        <f>S14</f>
        <v>2</v>
      </c>
      <c r="L17" s="81" t="s">
        <v>7</v>
      </c>
      <c r="M17" s="84">
        <f>Q14</f>
        <v>0</v>
      </c>
      <c r="N17" s="857"/>
      <c r="O17" s="858"/>
      <c r="P17" s="858"/>
      <c r="Q17" s="858"/>
      <c r="R17" s="858"/>
      <c r="S17" s="859"/>
      <c r="T17" s="80">
        <f>'Spielplan-Sa'!N23</f>
        <v>11</v>
      </c>
      <c r="U17" s="81" t="s">
        <v>7</v>
      </c>
      <c r="V17" s="82">
        <f>'Spielplan-Sa'!P23</f>
        <v>9</v>
      </c>
      <c r="W17" s="83">
        <f>'Spielplan-Sa'!AI23</f>
        <v>2</v>
      </c>
      <c r="X17" s="81" t="s">
        <v>7</v>
      </c>
      <c r="Y17" s="84">
        <f>'Spielplan-Sa'!AK23</f>
        <v>1</v>
      </c>
      <c r="Z17" s="80">
        <f>'Spielplan-Sa'!N35</f>
        <v>11</v>
      </c>
      <c r="AA17" s="81" t="s">
        <v>7</v>
      </c>
      <c r="AB17" s="82">
        <f>'Spielplan-Sa'!P35</f>
        <v>9</v>
      </c>
      <c r="AC17" s="83">
        <f>'Spielplan-Sa'!AI35</f>
        <v>2</v>
      </c>
      <c r="AD17" s="81" t="s">
        <v>7</v>
      </c>
      <c r="AE17" s="84">
        <f>'Spielplan-Sa'!AK35</f>
        <v>0</v>
      </c>
      <c r="AF17" s="59">
        <f>IF(E17="",0,+E17+IF(K17="",0,+K17+IF(W17="",0,+W17+IF(AC17="",0,+AC17))))</f>
        <v>7</v>
      </c>
      <c r="AG17" s="64" t="s">
        <v>7</v>
      </c>
      <c r="AH17" s="61">
        <f>IF(G17="",0,+G17+IF(M17="",0,+M17+IF(Y17="",0,+Y17+IF(AE17="",0,+AE17))))</f>
        <v>3</v>
      </c>
      <c r="AI17" s="49"/>
      <c r="AJ17" s="3"/>
      <c r="AK17" s="50"/>
      <c r="AL17" s="44"/>
      <c r="AM17" s="446">
        <f>IF(AF17&gt;AH17,IF(AH17=0,9000,AF17/AH17*1000),IF(AF17=0,-9000,AH17/AF17*-1000))</f>
        <v>2333.3333333333335</v>
      </c>
      <c r="AN17" s="44">
        <f>(AF17-AH17)*10000</f>
        <v>40000</v>
      </c>
      <c r="AO17" s="446">
        <f>AI18*100000+AN17+AM17+AL16</f>
        <v>642344.3333333334</v>
      </c>
      <c r="AP17" s="837"/>
    </row>
    <row r="18" spans="1:42" ht="16.5" customHeight="1" thickBot="1">
      <c r="A18" s="835"/>
      <c r="B18" s="85">
        <f>P12</f>
        <v>11</v>
      </c>
      <c r="C18" s="86" t="s">
        <v>7</v>
      </c>
      <c r="D18" s="87">
        <f>N12</f>
        <v>13</v>
      </c>
      <c r="E18" s="88">
        <f>S12</f>
        <v>0</v>
      </c>
      <c r="F18" s="86" t="s">
        <v>7</v>
      </c>
      <c r="G18" s="89">
        <f>Q12</f>
        <v>2</v>
      </c>
      <c r="H18" s="85">
        <f>P15</f>
        <v>0</v>
      </c>
      <c r="I18" s="86" t="s">
        <v>7</v>
      </c>
      <c r="J18" s="87">
        <f>N15</f>
        <v>0</v>
      </c>
      <c r="K18" s="88">
        <f>S15</f>
        <v>2</v>
      </c>
      <c r="L18" s="86" t="s">
        <v>7</v>
      </c>
      <c r="M18" s="89">
        <f>Q15</f>
        <v>0</v>
      </c>
      <c r="N18" s="860"/>
      <c r="O18" s="861"/>
      <c r="P18" s="861"/>
      <c r="Q18" s="861"/>
      <c r="R18" s="861"/>
      <c r="S18" s="862"/>
      <c r="T18" s="85">
        <f>'Spielplan-Sa'!Q23</f>
        <v>12</v>
      </c>
      <c r="U18" s="86" t="s">
        <v>7</v>
      </c>
      <c r="V18" s="87">
        <f>'Spielplan-Sa'!S23</f>
        <v>10</v>
      </c>
      <c r="W18" s="88">
        <f>'Spielplan-Sa'!AL23</f>
        <v>2</v>
      </c>
      <c r="X18" s="86" t="s">
        <v>7</v>
      </c>
      <c r="Y18" s="89">
        <f>'Spielplan-Sa'!AN23</f>
        <v>0</v>
      </c>
      <c r="Z18" s="85">
        <f>'Spielplan-Sa'!Q35</f>
        <v>0</v>
      </c>
      <c r="AA18" s="86" t="s">
        <v>7</v>
      </c>
      <c r="AB18" s="87">
        <f>'Spielplan-Sa'!S35</f>
        <v>0</v>
      </c>
      <c r="AC18" s="88">
        <f>'Spielplan-Sa'!AL35</f>
        <v>2</v>
      </c>
      <c r="AD18" s="86" t="s">
        <v>7</v>
      </c>
      <c r="AE18" s="89">
        <f>'Spielplan-Sa'!AN35</f>
        <v>0</v>
      </c>
      <c r="AF18" s="62"/>
      <c r="AG18" s="62"/>
      <c r="AH18" s="62"/>
      <c r="AI18" s="93">
        <f>E18+K18+W18+AC18</f>
        <v>6</v>
      </c>
      <c r="AJ18" s="39" t="s">
        <v>7</v>
      </c>
      <c r="AK18" s="94">
        <f>G18+M18+Y18+AE18</f>
        <v>2</v>
      </c>
      <c r="AL18" s="46"/>
      <c r="AM18" s="448"/>
      <c r="AN18" s="46"/>
      <c r="AO18" s="448"/>
      <c r="AP18" s="838"/>
    </row>
    <row r="19" spans="1:42" ht="16.5" customHeight="1" thickTop="1">
      <c r="A19" s="833" t="str">
        <f>T7</f>
        <v>VfB Stuttgart</v>
      </c>
      <c r="B19" s="79">
        <f>V10</f>
        <v>8</v>
      </c>
      <c r="C19" s="75" t="s">
        <v>7</v>
      </c>
      <c r="D19" s="76">
        <f>T10</f>
        <v>11</v>
      </c>
      <c r="E19" s="77">
        <f>Y10</f>
        <v>13</v>
      </c>
      <c r="F19" s="75" t="s">
        <v>7</v>
      </c>
      <c r="G19" s="78">
        <f>W10</f>
        <v>22</v>
      </c>
      <c r="H19" s="79">
        <f>V13</f>
        <v>5</v>
      </c>
      <c r="I19" s="75" t="s">
        <v>7</v>
      </c>
      <c r="J19" s="76">
        <f>T13</f>
        <v>11</v>
      </c>
      <c r="K19" s="77">
        <f>Y13</f>
        <v>25</v>
      </c>
      <c r="L19" s="75" t="s">
        <v>7</v>
      </c>
      <c r="M19" s="78">
        <f>W13</f>
        <v>32</v>
      </c>
      <c r="N19" s="79">
        <f>V16</f>
        <v>11</v>
      </c>
      <c r="O19" s="75" t="s">
        <v>7</v>
      </c>
      <c r="P19" s="76">
        <f>T16</f>
        <v>7</v>
      </c>
      <c r="Q19" s="77">
        <f>Y16</f>
        <v>30</v>
      </c>
      <c r="R19" s="75" t="s">
        <v>7</v>
      </c>
      <c r="S19" s="78">
        <f>W16</f>
        <v>30</v>
      </c>
      <c r="T19" s="854"/>
      <c r="U19" s="855"/>
      <c r="V19" s="855"/>
      <c r="W19" s="855"/>
      <c r="X19" s="855"/>
      <c r="Y19" s="856"/>
      <c r="Z19" s="79">
        <f>'Spielplan-Sa'!K31</f>
        <v>8</v>
      </c>
      <c r="AA19" s="75" t="s">
        <v>7</v>
      </c>
      <c r="AB19" s="76">
        <f>'Spielplan-Sa'!M31</f>
        <v>11</v>
      </c>
      <c r="AC19" s="77">
        <f>'Spielplan-Sa'!AF31</f>
        <v>28</v>
      </c>
      <c r="AD19" s="75" t="s">
        <v>7</v>
      </c>
      <c r="AE19" s="78">
        <f>'Spielplan-Sa'!AH31</f>
        <v>36</v>
      </c>
      <c r="AF19" s="56">
        <f>IF(E19="",0,+E19+IF(K19="",0,+K19+IF(Q19="",0,+Q19+IF(AC19="",0,+AC19))))</f>
        <v>96</v>
      </c>
      <c r="AG19" s="63" t="s">
        <v>7</v>
      </c>
      <c r="AH19" s="58">
        <f>IF(G19="",0,+G19+IF(M19="",0,+M19+IF(S19="",0,+S19+IF(AE19="",0,+AE19))))</f>
        <v>120</v>
      </c>
      <c r="AI19" s="51"/>
      <c r="AJ19" s="52"/>
      <c r="AK19" s="43"/>
      <c r="AL19" s="43">
        <f>AF19-AH19</f>
        <v>-24</v>
      </c>
      <c r="AM19" s="445"/>
      <c r="AN19" s="43"/>
      <c r="AO19" s="445"/>
      <c r="AP19" s="836">
        <f>IF('Spielplan-Sa'!AL$39+'Spielplan-Sa'!AN$39=0,"",IF(AO20="","",RANK(AO20,AO$11:AO$23,0)))</f>
        <v>5</v>
      </c>
    </row>
    <row r="20" spans="1:42" ht="16.5" customHeight="1">
      <c r="A20" s="834"/>
      <c r="B20" s="80">
        <f>V11</f>
        <v>5</v>
      </c>
      <c r="C20" s="81" t="s">
        <v>7</v>
      </c>
      <c r="D20" s="82">
        <f>T11</f>
        <v>11</v>
      </c>
      <c r="E20" s="83">
        <f>Y11</f>
        <v>0</v>
      </c>
      <c r="F20" s="81" t="s">
        <v>7</v>
      </c>
      <c r="G20" s="84">
        <f>W11</f>
        <v>2</v>
      </c>
      <c r="H20" s="80">
        <f>V14</f>
        <v>12</v>
      </c>
      <c r="I20" s="81" t="s">
        <v>7</v>
      </c>
      <c r="J20" s="82">
        <f>T14</f>
        <v>10</v>
      </c>
      <c r="K20" s="83">
        <f>Y14</f>
        <v>1</v>
      </c>
      <c r="L20" s="81" t="s">
        <v>7</v>
      </c>
      <c r="M20" s="84">
        <f>W14</f>
        <v>2</v>
      </c>
      <c r="N20" s="80">
        <f>V17</f>
        <v>9</v>
      </c>
      <c r="O20" s="81" t="s">
        <v>7</v>
      </c>
      <c r="P20" s="82">
        <f>T17</f>
        <v>11</v>
      </c>
      <c r="Q20" s="83">
        <f>Y17</f>
        <v>1</v>
      </c>
      <c r="R20" s="81" t="s">
        <v>7</v>
      </c>
      <c r="S20" s="84">
        <f>W17</f>
        <v>2</v>
      </c>
      <c r="T20" s="857"/>
      <c r="U20" s="858"/>
      <c r="V20" s="858"/>
      <c r="W20" s="858"/>
      <c r="X20" s="858"/>
      <c r="Y20" s="859"/>
      <c r="Z20" s="80">
        <f>'Spielplan-Sa'!N31</f>
        <v>15</v>
      </c>
      <c r="AA20" s="81" t="s">
        <v>7</v>
      </c>
      <c r="AB20" s="82">
        <f>'Spielplan-Sa'!P31</f>
        <v>14</v>
      </c>
      <c r="AC20" s="83">
        <f>'Spielplan-Sa'!AI31</f>
        <v>1</v>
      </c>
      <c r="AD20" s="81" t="s">
        <v>7</v>
      </c>
      <c r="AE20" s="84">
        <f>'Spielplan-Sa'!AK31</f>
        <v>2</v>
      </c>
      <c r="AF20" s="59">
        <f>IF(E20="",0,+E20+IF(K20="",0,+K20+IF(Q20="",0,+Q20+IF(AC20="",0,+AC20))))</f>
        <v>3</v>
      </c>
      <c r="AG20" s="64" t="s">
        <v>7</v>
      </c>
      <c r="AH20" s="61">
        <f>IF(G20="",0,+G20+IF(M20="",0,+M20+IF(S20="",0,+S20+IF(AE20="",0,+AE20))))</f>
        <v>8</v>
      </c>
      <c r="AI20" s="49"/>
      <c r="AJ20" s="3"/>
      <c r="AK20" s="50"/>
      <c r="AL20" s="44"/>
      <c r="AM20" s="446">
        <f>IF(AF20&gt;AH20,IF(AH20=0,9000,AF20/AH20*1000),IF(AF20=0,-9000,AH20/AF20*-1000))</f>
        <v>-2666.6666666666665</v>
      </c>
      <c r="AN20" s="44">
        <f>(AF20-AH20)*10000</f>
        <v>-50000</v>
      </c>
      <c r="AO20" s="446">
        <f>AI21*100000+AN20+AM20+AL19</f>
        <v>-52690.666666666664</v>
      </c>
      <c r="AP20" s="837"/>
    </row>
    <row r="21" spans="1:42" ht="16.5" customHeight="1" thickBot="1">
      <c r="A21" s="835"/>
      <c r="B21" s="85">
        <f>V12</f>
        <v>0</v>
      </c>
      <c r="C21" s="86" t="s">
        <v>7</v>
      </c>
      <c r="D21" s="87">
        <f>T12</f>
        <v>0</v>
      </c>
      <c r="E21" s="88">
        <f>Y12</f>
        <v>0</v>
      </c>
      <c r="F21" s="86" t="s">
        <v>7</v>
      </c>
      <c r="G21" s="89">
        <f>W12</f>
        <v>2</v>
      </c>
      <c r="H21" s="85">
        <f>V15</f>
        <v>8</v>
      </c>
      <c r="I21" s="86" t="s">
        <v>7</v>
      </c>
      <c r="J21" s="87">
        <f>T15</f>
        <v>11</v>
      </c>
      <c r="K21" s="88">
        <f>Y15</f>
        <v>0</v>
      </c>
      <c r="L21" s="86" t="s">
        <v>7</v>
      </c>
      <c r="M21" s="89">
        <f>W15</f>
        <v>2</v>
      </c>
      <c r="N21" s="85">
        <f>V18</f>
        <v>10</v>
      </c>
      <c r="O21" s="86" t="s">
        <v>7</v>
      </c>
      <c r="P21" s="87">
        <f>T18</f>
        <v>12</v>
      </c>
      <c r="Q21" s="88">
        <f>Y18</f>
        <v>0</v>
      </c>
      <c r="R21" s="86" t="s">
        <v>7</v>
      </c>
      <c r="S21" s="89">
        <f>W18</f>
        <v>2</v>
      </c>
      <c r="T21" s="860"/>
      <c r="U21" s="861"/>
      <c r="V21" s="861"/>
      <c r="W21" s="861"/>
      <c r="X21" s="861"/>
      <c r="Y21" s="862"/>
      <c r="Z21" s="85">
        <f>'Spielplan-Sa'!Q31</f>
        <v>5</v>
      </c>
      <c r="AA21" s="86" t="s">
        <v>7</v>
      </c>
      <c r="AB21" s="87">
        <f>'Spielplan-Sa'!S31</f>
        <v>11</v>
      </c>
      <c r="AC21" s="88">
        <f>'Spielplan-Sa'!AL31</f>
        <v>0</v>
      </c>
      <c r="AD21" s="86" t="s">
        <v>7</v>
      </c>
      <c r="AE21" s="89">
        <f>'Spielplan-Sa'!AN31</f>
        <v>2</v>
      </c>
      <c r="AF21" s="62"/>
      <c r="AG21" s="62"/>
      <c r="AH21" s="62"/>
      <c r="AI21" s="93">
        <f>E21+K21+Q21+AC21</f>
        <v>0</v>
      </c>
      <c r="AJ21" s="39" t="s">
        <v>7</v>
      </c>
      <c r="AK21" s="94">
        <f>G21+M21+S21+AE21</f>
        <v>8</v>
      </c>
      <c r="AL21" s="46"/>
      <c r="AM21" s="448"/>
      <c r="AN21" s="46"/>
      <c r="AO21" s="448"/>
      <c r="AP21" s="838"/>
    </row>
    <row r="22" spans="1:42" ht="16.5" customHeight="1" thickTop="1">
      <c r="A22" s="833" t="str">
        <f>Z7</f>
        <v>SG Stern Kaulsdorf</v>
      </c>
      <c r="B22" s="79">
        <f>AB10</f>
        <v>9</v>
      </c>
      <c r="C22" s="75" t="s">
        <v>7</v>
      </c>
      <c r="D22" s="76">
        <f>Z10</f>
        <v>11</v>
      </c>
      <c r="E22" s="77">
        <f>AE10</f>
        <v>28</v>
      </c>
      <c r="F22" s="75" t="s">
        <v>7</v>
      </c>
      <c r="G22" s="78">
        <f>AC10</f>
        <v>26</v>
      </c>
      <c r="H22" s="79">
        <f>AB13</f>
        <v>11</v>
      </c>
      <c r="I22" s="75" t="s">
        <v>7</v>
      </c>
      <c r="J22" s="76">
        <f>Z13</f>
        <v>5</v>
      </c>
      <c r="K22" s="77">
        <f>AE13</f>
        <v>28</v>
      </c>
      <c r="L22" s="75" t="s">
        <v>7</v>
      </c>
      <c r="M22" s="78">
        <f>AC13</f>
        <v>28</v>
      </c>
      <c r="N22" s="79">
        <f>AB16</f>
        <v>9</v>
      </c>
      <c r="O22" s="75" t="s">
        <v>7</v>
      </c>
      <c r="P22" s="76">
        <f>Z16</f>
        <v>11</v>
      </c>
      <c r="Q22" s="77">
        <f>AE16</f>
        <v>18</v>
      </c>
      <c r="R22" s="75" t="s">
        <v>7</v>
      </c>
      <c r="S22" s="78">
        <f>AC16</f>
        <v>22</v>
      </c>
      <c r="T22" s="79">
        <f>AB19</f>
        <v>11</v>
      </c>
      <c r="U22" s="75" t="s">
        <v>7</v>
      </c>
      <c r="V22" s="76">
        <f>Z19</f>
        <v>8</v>
      </c>
      <c r="W22" s="77">
        <f>AE19</f>
        <v>36</v>
      </c>
      <c r="X22" s="75" t="s">
        <v>7</v>
      </c>
      <c r="Y22" s="78">
        <f>AC19</f>
        <v>28</v>
      </c>
      <c r="Z22" s="854"/>
      <c r="AA22" s="855"/>
      <c r="AB22" s="855"/>
      <c r="AC22" s="855"/>
      <c r="AD22" s="855"/>
      <c r="AE22" s="856"/>
      <c r="AF22" s="56">
        <f>IF(E22="",0,+E22+IF(K22="",0,+K22+IF(Q22="",0,+Q22+IF(W22="",0,+W22))))</f>
        <v>110</v>
      </c>
      <c r="AG22" s="63" t="s">
        <v>7</v>
      </c>
      <c r="AH22" s="58">
        <f>IF(G22="",0,+G22+IF(M22="",0,+M22+IF(S22="",0,+S22+IF(Y22="",0,+Y22))))</f>
        <v>104</v>
      </c>
      <c r="AI22" s="51"/>
      <c r="AJ22" s="52"/>
      <c r="AK22" s="43"/>
      <c r="AL22" s="43">
        <f>AF22-AH22</f>
        <v>6</v>
      </c>
      <c r="AM22" s="445"/>
      <c r="AN22" s="43"/>
      <c r="AO22" s="445"/>
      <c r="AP22" s="836">
        <f>IF('Spielplan-Sa'!AL$39+'Spielplan-Sa'!AN$39=0,"",IF(AO23="","",RANK(AO23,AO$11:AO$23,0)))</f>
        <v>4</v>
      </c>
    </row>
    <row r="23" spans="1:42" ht="16.5" customHeight="1">
      <c r="A23" s="834"/>
      <c r="B23" s="80">
        <f>AB11</f>
        <v>11</v>
      </c>
      <c r="C23" s="81" t="s">
        <v>7</v>
      </c>
      <c r="D23" s="82">
        <f>Z11</f>
        <v>4</v>
      </c>
      <c r="E23" s="83">
        <f>AE11</f>
        <v>1</v>
      </c>
      <c r="F23" s="81" t="s">
        <v>7</v>
      </c>
      <c r="G23" s="84">
        <f>AC11</f>
        <v>2</v>
      </c>
      <c r="H23" s="80">
        <f>AB14</f>
        <v>7</v>
      </c>
      <c r="I23" s="81" t="s">
        <v>7</v>
      </c>
      <c r="J23" s="82">
        <f>Z14</f>
        <v>11</v>
      </c>
      <c r="K23" s="83">
        <f>AE14</f>
        <v>1</v>
      </c>
      <c r="L23" s="81" t="s">
        <v>7</v>
      </c>
      <c r="M23" s="84">
        <f>AC14</f>
        <v>2</v>
      </c>
      <c r="N23" s="80">
        <f>AB17</f>
        <v>9</v>
      </c>
      <c r="O23" s="81" t="s">
        <v>7</v>
      </c>
      <c r="P23" s="82">
        <f>Z17</f>
        <v>11</v>
      </c>
      <c r="Q23" s="83">
        <f>AE17</f>
        <v>0</v>
      </c>
      <c r="R23" s="81" t="s">
        <v>7</v>
      </c>
      <c r="S23" s="84">
        <f>AC17</f>
        <v>2</v>
      </c>
      <c r="T23" s="80">
        <f>AB20</f>
        <v>14</v>
      </c>
      <c r="U23" s="81" t="s">
        <v>7</v>
      </c>
      <c r="V23" s="82">
        <f>Z20</f>
        <v>15</v>
      </c>
      <c r="W23" s="83">
        <f>AE20</f>
        <v>2</v>
      </c>
      <c r="X23" s="81" t="s">
        <v>7</v>
      </c>
      <c r="Y23" s="84">
        <f>AC20</f>
        <v>1</v>
      </c>
      <c r="Z23" s="857"/>
      <c r="AA23" s="858"/>
      <c r="AB23" s="858"/>
      <c r="AC23" s="858"/>
      <c r="AD23" s="858"/>
      <c r="AE23" s="859"/>
      <c r="AF23" s="59">
        <f>IF(E23="",0,+E23+IF(K23="",0,+K23+IF(Q23="",0,+Q23+IF(W23="",0,+W23))))</f>
        <v>4</v>
      </c>
      <c r="AG23" s="64" t="s">
        <v>7</v>
      </c>
      <c r="AH23" s="61">
        <f>IF(G23="",0,+G23+IF(M23="",0,+M23+IF(S23="",0,+S23+IF(Y23="",0,+Y23))))</f>
        <v>7</v>
      </c>
      <c r="AI23" s="49"/>
      <c r="AJ23" s="3"/>
      <c r="AK23" s="50"/>
      <c r="AL23" s="44"/>
      <c r="AM23" s="446">
        <f>IF(AF23&gt;AH23,IF(AH23=0,9000,AF23/AH23*1000),IF(AF23=0,-9000,AH23/AF23*-1000))</f>
        <v>-1750</v>
      </c>
      <c r="AN23" s="44">
        <f>(AF23-AH23)*10000</f>
        <v>-30000</v>
      </c>
      <c r="AO23" s="446">
        <f>AI24*100000+AN23+AM23+AL22</f>
        <v>168256</v>
      </c>
      <c r="AP23" s="837"/>
    </row>
    <row r="24" spans="1:42" ht="16.5" customHeight="1" thickBot="1">
      <c r="A24" s="835"/>
      <c r="B24" s="85">
        <f>AB12</f>
        <v>8</v>
      </c>
      <c r="C24" s="86" t="s">
        <v>7</v>
      </c>
      <c r="D24" s="87">
        <f>Z12</f>
        <v>11</v>
      </c>
      <c r="E24" s="88">
        <f>AE12</f>
        <v>0</v>
      </c>
      <c r="F24" s="86" t="s">
        <v>7</v>
      </c>
      <c r="G24" s="89">
        <f>AC12</f>
        <v>2</v>
      </c>
      <c r="H24" s="85">
        <f>AB15</f>
        <v>10</v>
      </c>
      <c r="I24" s="86" t="s">
        <v>7</v>
      </c>
      <c r="J24" s="87">
        <f>Z15</f>
        <v>12</v>
      </c>
      <c r="K24" s="88">
        <f>AE15</f>
        <v>0</v>
      </c>
      <c r="L24" s="86" t="s">
        <v>7</v>
      </c>
      <c r="M24" s="89">
        <f>AC15</f>
        <v>2</v>
      </c>
      <c r="N24" s="85">
        <f>AB18</f>
        <v>0</v>
      </c>
      <c r="O24" s="86" t="s">
        <v>7</v>
      </c>
      <c r="P24" s="87">
        <f>Z18</f>
        <v>0</v>
      </c>
      <c r="Q24" s="88">
        <f>AE18</f>
        <v>0</v>
      </c>
      <c r="R24" s="86" t="s">
        <v>7</v>
      </c>
      <c r="S24" s="89">
        <f>AC18</f>
        <v>2</v>
      </c>
      <c r="T24" s="85">
        <f>AB21</f>
        <v>11</v>
      </c>
      <c r="U24" s="86" t="s">
        <v>7</v>
      </c>
      <c r="V24" s="87">
        <f>Z21</f>
        <v>5</v>
      </c>
      <c r="W24" s="88">
        <f>AE21</f>
        <v>2</v>
      </c>
      <c r="X24" s="86" t="s">
        <v>7</v>
      </c>
      <c r="Y24" s="89">
        <f>AC21</f>
        <v>0</v>
      </c>
      <c r="Z24" s="860"/>
      <c r="AA24" s="861"/>
      <c r="AB24" s="861"/>
      <c r="AC24" s="861"/>
      <c r="AD24" s="861"/>
      <c r="AE24" s="862"/>
      <c r="AF24" s="65"/>
      <c r="AG24" s="66"/>
      <c r="AH24" s="67"/>
      <c r="AI24" s="93">
        <f>E24+K24+Q24+W24</f>
        <v>2</v>
      </c>
      <c r="AJ24" s="39" t="s">
        <v>7</v>
      </c>
      <c r="AK24" s="94">
        <f>G24+M24+S24+Y24</f>
        <v>6</v>
      </c>
      <c r="AL24" s="46"/>
      <c r="AM24" s="448"/>
      <c r="AN24" s="46"/>
      <c r="AO24" s="448"/>
      <c r="AP24" s="838"/>
    </row>
    <row r="25" ht="9" customHeight="1" thickTop="1"/>
    <row r="26" spans="32:42" s="10" customFormat="1" ht="18" customHeight="1" hidden="1">
      <c r="AF26" s="11">
        <f>AF10+AF13+AF16+AF19+AF22</f>
        <v>506</v>
      </c>
      <c r="AG26" s="11"/>
      <c r="AH26" s="11">
        <f>AH10+AH13+AH16+AH19+AH22</f>
        <v>506</v>
      </c>
      <c r="AI26" s="11"/>
      <c r="AJ26" s="11"/>
      <c r="AK26" s="11"/>
      <c r="AL26" s="11"/>
      <c r="AM26" s="449"/>
      <c r="AN26" s="11"/>
      <c r="AO26" s="449"/>
      <c r="AP26" s="25">
        <f>IF(AP10="",0,AP10+AP13+AP16+AP19+AP22)</f>
        <v>15</v>
      </c>
    </row>
    <row r="27" spans="32:42" s="10" customFormat="1" ht="18" customHeight="1" hidden="1">
      <c r="AF27" s="11">
        <f>AF11+AF14+AF17+AF20+AF23</f>
        <v>26</v>
      </c>
      <c r="AG27" s="11"/>
      <c r="AH27" s="11">
        <f>AH11+AH14+AH17+AH20+AH23</f>
        <v>26</v>
      </c>
      <c r="AI27" s="11"/>
      <c r="AJ27" s="11"/>
      <c r="AK27" s="11"/>
      <c r="AL27" s="11"/>
      <c r="AM27" s="449"/>
      <c r="AN27" s="11"/>
      <c r="AO27" s="449"/>
      <c r="AP27" s="11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49"/>
      <c r="AN28" s="11"/>
      <c r="AO28" s="449"/>
      <c r="AP28" s="11"/>
    </row>
    <row r="29" spans="1:42" ht="23.25">
      <c r="A29" s="841" t="s">
        <v>47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841"/>
      <c r="AL29" s="841"/>
      <c r="AM29" s="841"/>
      <c r="AN29" s="841"/>
      <c r="AO29" s="841"/>
      <c r="AP29" s="841"/>
    </row>
    <row r="30" ht="6" customHeight="1"/>
    <row r="31" spans="8:31" ht="20.25">
      <c r="H31" s="6" t="s">
        <v>41</v>
      </c>
      <c r="I31" s="6"/>
      <c r="J31" s="30" t="str">
        <f>IF(AP$10=1,A$10,IF(AP$13=1,A$13,IF(AP$16=1,A$16,IF(AP$19=1,A$19,IF(AP$22=1,A$22,"")))))</f>
        <v>TV Klarenthal</v>
      </c>
      <c r="K31" s="6"/>
      <c r="L31" s="6"/>
      <c r="M31" s="6"/>
      <c r="Z31" s="215">
        <f>IF(AP$10=1,AI$12,IF(AP$13=1,AI$15,IF(AP$16=1,AI$18,IF(AP$19=1,AI$21,IF(AP$22=1,AI$24,"")))))</f>
        <v>8</v>
      </c>
      <c r="AA31" s="215" t="s">
        <v>7</v>
      </c>
      <c r="AB31" s="215">
        <f>IF(AP$10=1,AK$12,IF(AP$13=1,AK$15,IF(AP$16=1,AK$18,IF(AP$19=1,AK$21,IF(AP$22=1,AK$24,"")))))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IF(AP$10=2,A$10,IF(AP$13=2,A$13,IF(AP$16=2,A$16,IF(AP$19=2,A$19,IF(AP$22=2,A$22,"")))))</f>
        <v>TSV Bayer Leverkusen</v>
      </c>
      <c r="K32" s="6"/>
      <c r="L32" s="6"/>
      <c r="M32" s="6"/>
      <c r="Z32" s="215">
        <f>IF(AP$10=2,AI$12,IF(AP$13=2,AI$15,IF(AP$16=2,AI$18,IF(AP$19=2,AI$21,IF(AP$22=2,AI$24,"")))))</f>
        <v>6</v>
      </c>
      <c r="AA32" s="215" t="s">
        <v>7</v>
      </c>
      <c r="AB32" s="215">
        <f>IF(AP$10=2,AK$12,IF(AP$13=2,AK$15,IF(AP$16=2,AK$18,IF(AP$19=2,AK$21,IF(AP$22=2,AK$24,"")))))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IF(AP$10=3,A$10,IF(AP$13=3,A$13,IF(AP$16=3,A$16,IF(AP$19=3,A$19,IF(AP$22=3,A$22,"")))))</f>
        <v>TV Wünschmichelbach</v>
      </c>
      <c r="K33" s="6"/>
      <c r="L33" s="6"/>
      <c r="M33" s="6"/>
      <c r="Z33" s="215">
        <f>IF(AP$10=3,AI$12,IF(AP$13=3,AI$15,IF(AP$16=3,AI$18,IF(AP$19=3,AI$21,IF(AP$22=3,AI$24,"")))))</f>
        <v>4</v>
      </c>
      <c r="AA33" s="215" t="s">
        <v>7</v>
      </c>
      <c r="AB33" s="215">
        <f>IF(AP$10=3,AK$12,IF(AP$13=3,AK$15,IF(AP$16=3,AK$18,IF(AP$19=3,AK$21,IF(AP$22=3,AK$24,"")))))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IF(AP$10=4,A$10,IF(AP$13=4,A$13,IF(AP$16=4,A$16,IF(AP$19=4,A$19,IF(AP$22=4,A$22,"")))))</f>
        <v>SG Stern Kaulsdorf</v>
      </c>
      <c r="K34" s="6"/>
      <c r="L34" s="6"/>
      <c r="M34" s="6"/>
      <c r="Z34" s="215">
        <f>IF(AP$10=4,AI$12,IF(AP$13=4,AI$15,IF(AP$16=4,AI$18,IF(AP$19=4,AI$21,IF(AP$22=4,AI$24,"")))))</f>
        <v>2</v>
      </c>
      <c r="AA34" s="215" t="s">
        <v>7</v>
      </c>
      <c r="AB34" s="215">
        <f>IF(AP$10=4,AK$12,IF(AP$13=4,AK$15,IF(AP$16=4,AK$18,IF(AP$19=4,AK$21,IF(AP$22=4,AK$24,"")))))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IF(AP$10=5,A$10,IF(AP$13=5,A$13,IF(AP$16=5,A$16,IF(AP$19=5,A$19,IF(AP$22=5,A$22,"")))))</f>
        <v>VfB Stuttgart</v>
      </c>
      <c r="K35" s="6"/>
      <c r="L35" s="6"/>
      <c r="M35" s="6"/>
      <c r="Z35" s="215">
        <f>IF(AP$10=5,AI$12,IF(AP$13=5,AI$15,IF(AP$16=5,AI$18,IF(AP$19=5,AI$21,IF(AP$22=5,AI$24,"")))))</f>
        <v>0</v>
      </c>
      <c r="AA35" s="215" t="s">
        <v>7</v>
      </c>
      <c r="AB35" s="215">
        <f>IF(AP$10=5,AK$12,IF(AP$13=5,AK$15,IF(AP$16=5,AK$18,IF(AP$19=5,AK$21,IF(AP$22=5,AK$24,"")))))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0">
    <mergeCell ref="A29:AP29"/>
    <mergeCell ref="A19:A21"/>
    <mergeCell ref="T19:Y21"/>
    <mergeCell ref="AP19:AP21"/>
    <mergeCell ref="A22:A24"/>
    <mergeCell ref="Z22:AE24"/>
    <mergeCell ref="AP22:AP24"/>
    <mergeCell ref="AP16:AP18"/>
    <mergeCell ref="AP7:AP9"/>
    <mergeCell ref="AF8:AH8"/>
    <mergeCell ref="AI9:AK9"/>
    <mergeCell ref="AP10:AP12"/>
    <mergeCell ref="AP13:AP15"/>
    <mergeCell ref="AF7:AH7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P5"/>
    <mergeCell ref="H7:M9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JA_Notebook</cp:lastModifiedBy>
  <cp:lastPrinted>2010-09-05T12:59:13Z</cp:lastPrinted>
  <dcterms:created xsi:type="dcterms:W3CDTF">2006-09-04T11:05:59Z</dcterms:created>
  <dcterms:modified xsi:type="dcterms:W3CDTF">2010-09-05T14:20:40Z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